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na.grosa\Desktop\"/>
    </mc:Choice>
  </mc:AlternateContent>
  <xr:revisionPtr revIDLastSave="0" documentId="8_{0A58D32A-0A5D-43DA-85BD-F558AD9CC3B2}" xr6:coauthVersionLast="47" xr6:coauthVersionMax="47" xr10:uidLastSave="{00000000-0000-0000-0000-000000000000}"/>
  <bookViews>
    <workbookView xWindow="-120" yWindow="-120" windowWidth="20730" windowHeight="11160" xr2:uid="{D8A09435-B935-48A3-A218-7C224188DC34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55" i="1" l="1"/>
  <c r="AD455" i="1"/>
  <c r="AD456" i="1" s="1"/>
  <c r="AC455" i="1"/>
  <c r="AB455" i="1"/>
  <c r="AA455" i="1"/>
  <c r="AF455" i="1" s="1"/>
  <c r="X455" i="1"/>
  <c r="W455" i="1"/>
  <c r="V455" i="1"/>
  <c r="U455" i="1"/>
  <c r="U456" i="1" s="1"/>
  <c r="T455" i="1"/>
  <c r="F455" i="1"/>
  <c r="F461" i="1" s="1"/>
  <c r="AE454" i="1"/>
  <c r="AD454" i="1"/>
  <c r="AC454" i="1"/>
  <c r="AB454" i="1"/>
  <c r="AA454" i="1"/>
  <c r="AF454" i="1" s="1"/>
  <c r="X454" i="1"/>
  <c r="W454" i="1"/>
  <c r="V454" i="1"/>
  <c r="U454" i="1"/>
  <c r="T454" i="1"/>
  <c r="Y454" i="1" s="1"/>
  <c r="F454" i="1"/>
  <c r="AE453" i="1"/>
  <c r="AD453" i="1"/>
  <c r="AC453" i="1"/>
  <c r="AB453" i="1"/>
  <c r="AA453" i="1"/>
  <c r="AF453" i="1" s="1"/>
  <c r="X453" i="1"/>
  <c r="W453" i="1"/>
  <c r="V453" i="1"/>
  <c r="U453" i="1"/>
  <c r="T453" i="1"/>
  <c r="Y453" i="1" s="1"/>
  <c r="F453" i="1"/>
  <c r="F459" i="1" s="1"/>
  <c r="AE452" i="1"/>
  <c r="AE456" i="1" s="1"/>
  <c r="AD452" i="1"/>
  <c r="AC452" i="1"/>
  <c r="AC456" i="1" s="1"/>
  <c r="AB452" i="1"/>
  <c r="AF452" i="1" s="1"/>
  <c r="AF456" i="1" s="1"/>
  <c r="AA452" i="1"/>
  <c r="AA456" i="1" s="1"/>
  <c r="X452" i="1"/>
  <c r="X456" i="1" s="1"/>
  <c r="W452" i="1"/>
  <c r="W456" i="1" s="1"/>
  <c r="V452" i="1"/>
  <c r="V456" i="1" s="1"/>
  <c r="U452" i="1"/>
  <c r="T452" i="1"/>
  <c r="T456" i="1" s="1"/>
  <c r="F452" i="1"/>
  <c r="F451" i="1"/>
  <c r="P450" i="1"/>
  <c r="P454" i="1" s="1"/>
  <c r="M450" i="1"/>
  <c r="L450" i="1"/>
  <c r="L454" i="1" s="1"/>
  <c r="AE417" i="1"/>
  <c r="AD417" i="1"/>
  <c r="AC417" i="1"/>
  <c r="AC418" i="1" s="1"/>
  <c r="AB417" i="1"/>
  <c r="AA417" i="1"/>
  <c r="AF417" i="1" s="1"/>
  <c r="X417" i="1"/>
  <c r="X418" i="1" s="1"/>
  <c r="W417" i="1"/>
  <c r="V417" i="1"/>
  <c r="U417" i="1"/>
  <c r="T417" i="1"/>
  <c r="T418" i="1" s="1"/>
  <c r="F417" i="1"/>
  <c r="AE416" i="1"/>
  <c r="AD416" i="1"/>
  <c r="AC416" i="1"/>
  <c r="AB416" i="1"/>
  <c r="AA416" i="1"/>
  <c r="AF416" i="1" s="1"/>
  <c r="X416" i="1"/>
  <c r="W416" i="1"/>
  <c r="V416" i="1"/>
  <c r="U416" i="1"/>
  <c r="Y416" i="1" s="1"/>
  <c r="T416" i="1"/>
  <c r="F416" i="1"/>
  <c r="AE415" i="1"/>
  <c r="AD415" i="1"/>
  <c r="AC415" i="1"/>
  <c r="AB415" i="1"/>
  <c r="AA415" i="1"/>
  <c r="AF415" i="1" s="1"/>
  <c r="X415" i="1"/>
  <c r="W415" i="1"/>
  <c r="V415" i="1"/>
  <c r="U415" i="1"/>
  <c r="T415" i="1"/>
  <c r="Y415" i="1" s="1"/>
  <c r="F415" i="1"/>
  <c r="AE414" i="1"/>
  <c r="AE418" i="1" s="1"/>
  <c r="AD414" i="1"/>
  <c r="AD418" i="1" s="1"/>
  <c r="AC414" i="1"/>
  <c r="AB414" i="1"/>
  <c r="AB418" i="1" s="1"/>
  <c r="AA414" i="1"/>
  <c r="AA418" i="1" s="1"/>
  <c r="X414" i="1"/>
  <c r="W414" i="1"/>
  <c r="W418" i="1" s="1"/>
  <c r="V414" i="1"/>
  <c r="V418" i="1" s="1"/>
  <c r="U414" i="1"/>
  <c r="U418" i="1" s="1"/>
  <c r="T414" i="1"/>
  <c r="Y414" i="1" s="1"/>
  <c r="F414" i="1"/>
  <c r="F413" i="1"/>
  <c r="P412" i="1"/>
  <c r="M412" i="1"/>
  <c r="L412" i="1"/>
  <c r="E370" i="1"/>
  <c r="E367" i="1"/>
  <c r="D367" i="1"/>
  <c r="F319" i="1"/>
  <c r="AE318" i="1"/>
  <c r="AD318" i="1"/>
  <c r="AC318" i="1"/>
  <c r="AB318" i="1"/>
  <c r="AA318" i="1"/>
  <c r="AF318" i="1" s="1"/>
  <c r="X318" i="1"/>
  <c r="W318" i="1"/>
  <c r="V318" i="1"/>
  <c r="U318" i="1"/>
  <c r="T318" i="1"/>
  <c r="Y318" i="1" s="1"/>
  <c r="AE317" i="1"/>
  <c r="AC317" i="1"/>
  <c r="AB317" i="1"/>
  <c r="AA317" i="1"/>
  <c r="X317" i="1"/>
  <c r="V317" i="1"/>
  <c r="U317" i="1"/>
  <c r="T317" i="1"/>
  <c r="F317" i="1"/>
  <c r="AE316" i="1"/>
  <c r="AD316" i="1"/>
  <c r="AC316" i="1"/>
  <c r="AB316" i="1"/>
  <c r="AA316" i="1"/>
  <c r="AF316" i="1" s="1"/>
  <c r="X316" i="1"/>
  <c r="W316" i="1"/>
  <c r="V316" i="1"/>
  <c r="U316" i="1"/>
  <c r="T316" i="1"/>
  <c r="Y316" i="1" s="1"/>
  <c r="F316" i="1"/>
  <c r="AE315" i="1"/>
  <c r="AE319" i="1" s="1"/>
  <c r="AD315" i="1"/>
  <c r="AC315" i="1"/>
  <c r="AC319" i="1" s="1"/>
  <c r="AB315" i="1"/>
  <c r="AF315" i="1" s="1"/>
  <c r="AA315" i="1"/>
  <c r="AA319" i="1" s="1"/>
  <c r="X315" i="1"/>
  <c r="X319" i="1" s="1"/>
  <c r="W315" i="1"/>
  <c r="V315" i="1"/>
  <c r="V319" i="1" s="1"/>
  <c r="U315" i="1"/>
  <c r="U319" i="1" s="1"/>
  <c r="T315" i="1"/>
  <c r="Y315" i="1" s="1"/>
  <c r="P313" i="1"/>
  <c r="M313" i="1"/>
  <c r="L313" i="1"/>
  <c r="E312" i="1"/>
  <c r="E311" i="1"/>
  <c r="U304" i="1"/>
  <c r="U305" i="1" s="1"/>
  <c r="D285" i="1"/>
  <c r="E285" i="1" s="1"/>
  <c r="D286" i="1" s="1"/>
  <c r="E286" i="1" s="1"/>
  <c r="D287" i="1" s="1"/>
  <c r="E287" i="1" s="1"/>
  <c r="D288" i="1" s="1"/>
  <c r="E288" i="1" s="1"/>
  <c r="F283" i="1"/>
  <c r="F318" i="1" s="1"/>
  <c r="E271" i="1"/>
  <c r="T253" i="1"/>
  <c r="U253" i="1" s="1"/>
  <c r="AE241" i="1"/>
  <c r="AC241" i="1"/>
  <c r="AC242" i="1" s="1"/>
  <c r="AB241" i="1"/>
  <c r="AA241" i="1"/>
  <c r="X241" i="1"/>
  <c r="X242" i="1" s="1"/>
  <c r="V241" i="1"/>
  <c r="U241" i="1"/>
  <c r="T241" i="1"/>
  <c r="T242" i="1" s="1"/>
  <c r="F241" i="1"/>
  <c r="AE240" i="1"/>
  <c r="AD240" i="1"/>
  <c r="AC240" i="1"/>
  <c r="AB240" i="1"/>
  <c r="AA240" i="1"/>
  <c r="AF240" i="1" s="1"/>
  <c r="X240" i="1"/>
  <c r="W240" i="1"/>
  <c r="V240" i="1"/>
  <c r="U240" i="1"/>
  <c r="Y240" i="1" s="1"/>
  <c r="T240" i="1"/>
  <c r="AE239" i="1"/>
  <c r="AD239" i="1"/>
  <c r="AC239" i="1"/>
  <c r="AB239" i="1"/>
  <c r="AA239" i="1"/>
  <c r="AF239" i="1" s="1"/>
  <c r="X239" i="1"/>
  <c r="W239" i="1"/>
  <c r="V239" i="1"/>
  <c r="U239" i="1"/>
  <c r="Y239" i="1" s="1"/>
  <c r="T239" i="1"/>
  <c r="F239" i="1"/>
  <c r="AE238" i="1"/>
  <c r="AE242" i="1" s="1"/>
  <c r="AD238" i="1"/>
  <c r="AC238" i="1"/>
  <c r="AB238" i="1"/>
  <c r="AB242" i="1" s="1"/>
  <c r="AA238" i="1"/>
  <c r="AA242" i="1" s="1"/>
  <c r="X238" i="1"/>
  <c r="W238" i="1"/>
  <c r="V238" i="1"/>
  <c r="V242" i="1" s="1"/>
  <c r="U238" i="1"/>
  <c r="U242" i="1" s="1"/>
  <c r="T238" i="1"/>
  <c r="Y238" i="1" s="1"/>
  <c r="F238" i="1"/>
  <c r="P236" i="1"/>
  <c r="M236" i="1"/>
  <c r="L236" i="1"/>
  <c r="E227" i="1"/>
  <c r="E211" i="1"/>
  <c r="E205" i="1"/>
  <c r="F202" i="1"/>
  <c r="W241" i="1" s="1"/>
  <c r="AE181" i="1"/>
  <c r="AC181" i="1"/>
  <c r="AB181" i="1"/>
  <c r="AA181" i="1"/>
  <c r="AF181" i="1" s="1"/>
  <c r="X181" i="1"/>
  <c r="V181" i="1"/>
  <c r="U181" i="1"/>
  <c r="T181" i="1"/>
  <c r="F181" i="1"/>
  <c r="AE180" i="1"/>
  <c r="AC180" i="1"/>
  <c r="AB180" i="1"/>
  <c r="AA180" i="1"/>
  <c r="X180" i="1"/>
  <c r="V180" i="1"/>
  <c r="U180" i="1"/>
  <c r="T180" i="1"/>
  <c r="AE179" i="1"/>
  <c r="AD179" i="1"/>
  <c r="AC179" i="1"/>
  <c r="AB179" i="1"/>
  <c r="AF179" i="1" s="1"/>
  <c r="AA179" i="1"/>
  <c r="X179" i="1"/>
  <c r="W179" i="1"/>
  <c r="V179" i="1"/>
  <c r="U179" i="1"/>
  <c r="T179" i="1"/>
  <c r="Y179" i="1" s="1"/>
  <c r="AE178" i="1"/>
  <c r="AE182" i="1" s="1"/>
  <c r="AD178" i="1"/>
  <c r="AC178" i="1"/>
  <c r="AC182" i="1" s="1"/>
  <c r="AB178" i="1"/>
  <c r="AF178" i="1" s="1"/>
  <c r="AA178" i="1"/>
  <c r="AA182" i="1" s="1"/>
  <c r="X178" i="1"/>
  <c r="X182" i="1" s="1"/>
  <c r="W178" i="1"/>
  <c r="V178" i="1"/>
  <c r="V182" i="1" s="1"/>
  <c r="U178" i="1"/>
  <c r="T178" i="1"/>
  <c r="T182" i="1" s="1"/>
  <c r="F178" i="1"/>
  <c r="P176" i="1"/>
  <c r="M176" i="1"/>
  <c r="L176" i="1"/>
  <c r="E175" i="1"/>
  <c r="D175" i="1"/>
  <c r="D170" i="1"/>
  <c r="E170" i="1" s="1"/>
  <c r="E155" i="1"/>
  <c r="D155" i="1"/>
  <c r="D140" i="1"/>
  <c r="E140" i="1" s="1"/>
  <c r="F131" i="1"/>
  <c r="D131" i="1"/>
  <c r="D122" i="1"/>
  <c r="F122" i="1" s="1"/>
  <c r="AD181" i="1" s="1"/>
  <c r="F120" i="1"/>
  <c r="W181" i="1" s="1"/>
  <c r="D120" i="1"/>
  <c r="D116" i="1"/>
  <c r="E116" i="1" s="1"/>
  <c r="D113" i="1"/>
  <c r="E113" i="1" s="1"/>
  <c r="F113" i="1" s="1"/>
  <c r="AE92" i="1"/>
  <c r="AD92" i="1"/>
  <c r="AC92" i="1"/>
  <c r="AB92" i="1"/>
  <c r="AB93" i="1" s="1"/>
  <c r="AA92" i="1"/>
  <c r="X92" i="1"/>
  <c r="W92" i="1"/>
  <c r="W93" i="1" s="1"/>
  <c r="V92" i="1"/>
  <c r="U92" i="1"/>
  <c r="T92" i="1"/>
  <c r="Y92" i="1" s="1"/>
  <c r="F92" i="1"/>
  <c r="AE91" i="1"/>
  <c r="AD91" i="1"/>
  <c r="AC91" i="1"/>
  <c r="AB91" i="1"/>
  <c r="AF91" i="1" s="1"/>
  <c r="AA91" i="1"/>
  <c r="X91" i="1"/>
  <c r="W91" i="1"/>
  <c r="V91" i="1"/>
  <c r="U91" i="1"/>
  <c r="T91" i="1"/>
  <c r="Y91" i="1" s="1"/>
  <c r="AE90" i="1"/>
  <c r="AD90" i="1"/>
  <c r="AC90" i="1"/>
  <c r="AB90" i="1"/>
  <c r="AA90" i="1"/>
  <c r="AF90" i="1" s="1"/>
  <c r="X90" i="1"/>
  <c r="W90" i="1"/>
  <c r="V90" i="1"/>
  <c r="U90" i="1"/>
  <c r="Y90" i="1" s="1"/>
  <c r="T90" i="1"/>
  <c r="F90" i="1"/>
  <c r="AE89" i="1"/>
  <c r="AE93" i="1" s="1"/>
  <c r="AD89" i="1"/>
  <c r="AD93" i="1" s="1"/>
  <c r="AC89" i="1"/>
  <c r="AC93" i="1" s="1"/>
  <c r="AB89" i="1"/>
  <c r="AA89" i="1"/>
  <c r="AA93" i="1" s="1"/>
  <c r="X89" i="1"/>
  <c r="X93" i="1" s="1"/>
  <c r="W89" i="1"/>
  <c r="V89" i="1"/>
  <c r="V93" i="1" s="1"/>
  <c r="U89" i="1"/>
  <c r="Y89" i="1" s="1"/>
  <c r="T89" i="1"/>
  <c r="T93" i="1" s="1"/>
  <c r="F88" i="1"/>
  <c r="F91" i="1" s="1"/>
  <c r="P87" i="1"/>
  <c r="M87" i="1"/>
  <c r="L87" i="1"/>
  <c r="E72" i="1"/>
  <c r="AE54" i="1"/>
  <c r="AC54" i="1"/>
  <c r="AB54" i="1"/>
  <c r="AB55" i="1" s="1"/>
  <c r="AA54" i="1"/>
  <c r="V54" i="1"/>
  <c r="U54" i="1"/>
  <c r="F54" i="1"/>
  <c r="AE53" i="1"/>
  <c r="AC53" i="1"/>
  <c r="AB53" i="1"/>
  <c r="AA53" i="1"/>
  <c r="X53" i="1"/>
  <c r="V53" i="1"/>
  <c r="U53" i="1"/>
  <c r="AE52" i="1"/>
  <c r="AD52" i="1"/>
  <c r="AC52" i="1"/>
  <c r="AB52" i="1"/>
  <c r="AA52" i="1"/>
  <c r="AF52" i="1" s="1"/>
  <c r="X52" i="1"/>
  <c r="W52" i="1"/>
  <c r="V52" i="1"/>
  <c r="U52" i="1"/>
  <c r="Y52" i="1" s="1"/>
  <c r="T52" i="1"/>
  <c r="AE51" i="1"/>
  <c r="AE55" i="1" s="1"/>
  <c r="AD51" i="1"/>
  <c r="AC51" i="1"/>
  <c r="AC55" i="1" s="1"/>
  <c r="AB51" i="1"/>
  <c r="AA51" i="1"/>
  <c r="AA55" i="1" s="1"/>
  <c r="X51" i="1"/>
  <c r="X55" i="1" s="1"/>
  <c r="W51" i="1"/>
  <c r="V51" i="1"/>
  <c r="V55" i="1" s="1"/>
  <c r="U51" i="1"/>
  <c r="U55" i="1" s="1"/>
  <c r="T51" i="1"/>
  <c r="P49" i="1"/>
  <c r="M49" i="1"/>
  <c r="M454" i="1" s="1"/>
  <c r="L49" i="1"/>
  <c r="F48" i="1"/>
  <c r="F47" i="1"/>
  <c r="F46" i="1"/>
  <c r="F45" i="1"/>
  <c r="E44" i="1"/>
  <c r="F44" i="1" s="1"/>
  <c r="D44" i="1"/>
  <c r="F43" i="1"/>
  <c r="F42" i="1"/>
  <c r="F41" i="1"/>
  <c r="F40" i="1"/>
  <c r="F39" i="1"/>
  <c r="F38" i="1"/>
  <c r="F37" i="1"/>
  <c r="T53" i="1" s="1"/>
  <c r="F36" i="1"/>
  <c r="F35" i="1"/>
  <c r="F34" i="1"/>
  <c r="F51" i="1" s="1"/>
  <c r="F33" i="1"/>
  <c r="F31" i="1"/>
  <c r="AD54" i="1" s="1"/>
  <c r="E31" i="1"/>
  <c r="F30" i="1"/>
  <c r="F29" i="1"/>
  <c r="F28" i="1"/>
  <c r="F27" i="1"/>
  <c r="F26" i="1"/>
  <c r="F25" i="1"/>
  <c r="F24" i="1"/>
  <c r="F23" i="1"/>
  <c r="D21" i="1"/>
  <c r="E21" i="1" s="1"/>
  <c r="F20" i="1"/>
  <c r="E20" i="1"/>
  <c r="F19" i="1"/>
  <c r="F18" i="1"/>
  <c r="D16" i="1"/>
  <c r="E16" i="1" s="1"/>
  <c r="D17" i="1" s="1"/>
  <c r="E17" i="1" s="1"/>
  <c r="F15" i="1"/>
  <c r="F14" i="1"/>
  <c r="F13" i="1"/>
  <c r="X54" i="1" s="1"/>
  <c r="F12" i="1"/>
  <c r="W54" i="1" s="1"/>
  <c r="F11" i="1"/>
  <c r="Y93" i="1" l="1"/>
  <c r="D22" i="1"/>
  <c r="E22" i="1" s="1"/>
  <c r="F22" i="1" s="1"/>
  <c r="W53" i="1" s="1"/>
  <c r="F21" i="1"/>
  <c r="F50" i="1" s="1"/>
  <c r="F53" i="1" s="1"/>
  <c r="AD180" i="1"/>
  <c r="AD182" i="1" s="1"/>
  <c r="F177" i="1"/>
  <c r="F180" i="1" s="1"/>
  <c r="W180" i="1"/>
  <c r="Y180" i="1" s="1"/>
  <c r="F458" i="1"/>
  <c r="AD53" i="1"/>
  <c r="AD55" i="1" s="1"/>
  <c r="AF180" i="1"/>
  <c r="W242" i="1"/>
  <c r="Y418" i="1"/>
  <c r="AF182" i="1"/>
  <c r="Y181" i="1"/>
  <c r="F315" i="1"/>
  <c r="AB319" i="1"/>
  <c r="AF414" i="1"/>
  <c r="AF418" i="1" s="1"/>
  <c r="T54" i="1"/>
  <c r="Y54" i="1" s="1"/>
  <c r="AF89" i="1"/>
  <c r="Y241" i="1"/>
  <c r="Y242" i="1" s="1"/>
  <c r="AD241" i="1"/>
  <c r="AD242" i="1" s="1"/>
  <c r="T319" i="1"/>
  <c r="Y417" i="1"/>
  <c r="Y51" i="1"/>
  <c r="AF54" i="1"/>
  <c r="AF92" i="1"/>
  <c r="U182" i="1"/>
  <c r="AF238" i="1"/>
  <c r="AD317" i="1"/>
  <c r="AF317" i="1" s="1"/>
  <c r="AF319" i="1" s="1"/>
  <c r="Y455" i="1"/>
  <c r="AF51" i="1"/>
  <c r="U93" i="1"/>
  <c r="Y178" i="1"/>
  <c r="AB182" i="1"/>
  <c r="F240" i="1"/>
  <c r="W317" i="1"/>
  <c r="W319" i="1" s="1"/>
  <c r="Y452" i="1"/>
  <c r="Y456" i="1" s="1"/>
  <c r="AB456" i="1"/>
  <c r="F237" i="1"/>
  <c r="F457" i="1" l="1"/>
  <c r="F460" i="1"/>
  <c r="W55" i="1"/>
  <c r="Y53" i="1"/>
  <c r="AD319" i="1"/>
  <c r="AF53" i="1"/>
  <c r="Y317" i="1"/>
  <c r="Y319" i="1" s="1"/>
  <c r="W182" i="1"/>
  <c r="AF241" i="1"/>
  <c r="AF242" i="1" s="1"/>
  <c r="AA243" i="1" s="1"/>
  <c r="Y182" i="1"/>
  <c r="Z183" i="1" s="1"/>
  <c r="T55" i="1"/>
  <c r="Y55" i="1"/>
  <c r="AF55" i="1"/>
  <c r="AF93" i="1"/>
</calcChain>
</file>

<file path=xl/sharedStrings.xml><?xml version="1.0" encoding="utf-8"?>
<sst xmlns="http://schemas.openxmlformats.org/spreadsheetml/2006/main" count="1537" uniqueCount="340">
  <si>
    <t>Siguldas novada pašvaldības ikdienas uzturēšanas ceļu saraksts</t>
  </si>
  <si>
    <t>A</t>
  </si>
  <si>
    <t>B</t>
  </si>
  <si>
    <t>C</t>
  </si>
  <si>
    <t>D</t>
  </si>
  <si>
    <t>E</t>
  </si>
  <si>
    <t xml:space="preserve">1. pielikums </t>
  </si>
  <si>
    <t>melnais segums</t>
  </si>
  <si>
    <t>Grants</t>
  </si>
  <si>
    <t>Siguldas novada pašvaldības ikdienas uzturēšanas ceļu saraksts B grupas ceļiem Siguldas pagastā</t>
  </si>
  <si>
    <t>Ministru kabineta</t>
  </si>
  <si>
    <t>1000+</t>
  </si>
  <si>
    <t>500-1000</t>
  </si>
  <si>
    <t>100-499</t>
  </si>
  <si>
    <t>līdz 100</t>
  </si>
  <si>
    <t>Nevar nodrošināt D</t>
  </si>
  <si>
    <t>100+</t>
  </si>
  <si>
    <t>2017.gada 27.jūnija</t>
  </si>
  <si>
    <t>noteikumiem Nr.361</t>
  </si>
  <si>
    <t>Nr.
p.k.</t>
  </si>
  <si>
    <t>Ceļa numurs
un nosaukums</t>
  </si>
  <si>
    <t>Ceļu raksturojošie parametri</t>
  </si>
  <si>
    <t>Kadastra objekta identifikators</t>
  </si>
  <si>
    <t>ceļš</t>
  </si>
  <si>
    <t>tilts vai satiksmes pārvads</t>
  </si>
  <si>
    <r>
      <t>gājēju un velosipēdu ceļa 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</si>
  <si>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adrese (km)</t>
  </si>
  <si>
    <t>garums
(km)</t>
  </si>
  <si>
    <t>Platums (m)</t>
  </si>
  <si>
    <t>seguma
veids</t>
  </si>
  <si>
    <t>nosaukums</t>
  </si>
  <si>
    <t>Adrese</t>
  </si>
  <si>
    <t>garums
(m)</t>
  </si>
  <si>
    <r>
      <t>brauktuves
laukums
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</si>
  <si>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r>
      <t>dīvlīmeņu
nobrauktuves
brauktuves
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</si>
  <si>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konstrukcijas
materiāls</t>
  </si>
  <si>
    <t>īpašuma kadastra numurs</t>
  </si>
  <si>
    <t>zemes vienības/ lineārās inženier-būves kadastra apzīmējums</t>
  </si>
  <si>
    <t>Uzturēšanas klase</t>
  </si>
  <si>
    <t>no</t>
  </si>
  <si>
    <t>līdz</t>
  </si>
  <si>
    <t>km</t>
  </si>
  <si>
    <t>ģeodēziskās
koordinātas</t>
  </si>
  <si>
    <t>9404 V83- Kodaļas</t>
  </si>
  <si>
    <t>grants</t>
  </si>
  <si>
    <t>9405 V83- Rožkrūmi</t>
  </si>
  <si>
    <t>cits segums</t>
  </si>
  <si>
    <t>Atzars 1 uz Vecpāvuļiem</t>
  </si>
  <si>
    <t>9406 V83-Jaunozoli</t>
  </si>
  <si>
    <t>Nepiederošs</t>
  </si>
  <si>
    <t>9407 V83- Ceplīši</t>
  </si>
  <si>
    <t>9409 Kūdru ceļš</t>
  </si>
  <si>
    <t>9411 A2-Muldas</t>
  </si>
  <si>
    <t>Atzars 2 uz ceļu Nr.9410</t>
  </si>
  <si>
    <t>9412 A2- Mednieki - V85 (Jūdaži)</t>
  </si>
  <si>
    <t>9415 V85- Zalves</t>
  </si>
  <si>
    <t>9416 V85-Mežakas</t>
  </si>
  <si>
    <t>9418 V85- Ezerlauki</t>
  </si>
  <si>
    <t>9419 Jūdažu parks- Šoseja</t>
  </si>
  <si>
    <t>melnais</t>
  </si>
  <si>
    <t>9421 V85 -(Jūdaži)- Dambīši</t>
  </si>
  <si>
    <t>Atzars uz  Jaunsētām</t>
  </si>
  <si>
    <t>9427 P8- Pelītes</t>
  </si>
  <si>
    <t>9428 Egles- Rugāji</t>
  </si>
  <si>
    <t>9429 Pelītes- Sāri</t>
  </si>
  <si>
    <t>6 īpašumu robežas</t>
  </si>
  <si>
    <t>9431 Pelītes-Saltavota iela</t>
  </si>
  <si>
    <t>9432 Līgotnes-Saltavota iela (Ezeri)</t>
  </si>
  <si>
    <t>9435 V58- Ancīši</t>
  </si>
  <si>
    <t>9436 V58- Lorkalni</t>
  </si>
  <si>
    <t>Nepiederoši ceļi</t>
  </si>
  <si>
    <t>Kopā tilti</t>
  </si>
  <si>
    <t>Kopā</t>
  </si>
  <si>
    <t>Melnais segums</t>
  </si>
  <si>
    <t>Dubultā virsma</t>
  </si>
  <si>
    <t>Bruģa segums</t>
  </si>
  <si>
    <t>Grants segums</t>
  </si>
  <si>
    <t>Cits segums</t>
  </si>
  <si>
    <t>Kopā Siguldas pagasta B grupas ceļi</t>
  </si>
  <si>
    <t>t.sk. ar melno segumu</t>
  </si>
  <si>
    <t>t.sk. ar bruģa segumu</t>
  </si>
  <si>
    <t>t.sk. ar grants (šķembu) segumu</t>
  </si>
  <si>
    <t>t.sk. ar citu segumu (bez seguma)</t>
  </si>
  <si>
    <t>Siguldas novada pašvaldības ikdienas uzturēšanas ceļu saraksts B grupas ceļiem Mores pagastā</t>
  </si>
  <si>
    <t>6602 Smēdītes- Jaunkaļļi</t>
  </si>
  <si>
    <t>6604 Kārtūži- Madlēni</t>
  </si>
  <si>
    <t>6606 Bērziņi- Audakas</t>
  </si>
  <si>
    <t xml:space="preserve">Atzars </t>
  </si>
  <si>
    <t>6607 Skriduļi- pagrieziens uz Meldriem</t>
  </si>
  <si>
    <t xml:space="preserve"> </t>
  </si>
  <si>
    <t>6608 Bērziņi- Piejaugi</t>
  </si>
  <si>
    <t>42660020009; 42660020035</t>
  </si>
  <si>
    <t>6610 Pļavas- Laģi</t>
  </si>
  <si>
    <t>bruģis</t>
  </si>
  <si>
    <t>6611 More- Dzintari</t>
  </si>
  <si>
    <t>6612 Dzintari- Rotas</t>
  </si>
  <si>
    <t>6613 Rotas- Akseles- Salmiņi</t>
  </si>
  <si>
    <t>6614 Mergupes tilts- pag. robeža</t>
  </si>
  <si>
    <t>Akseles tilts</t>
  </si>
  <si>
    <r>
      <t>G 25</t>
    </r>
    <r>
      <rPr>
        <sz val="8"/>
        <color theme="1"/>
        <rFont val="Arial"/>
        <family val="2"/>
        <charset val="186"/>
      </rPr>
      <t>º</t>
    </r>
    <r>
      <rPr>
        <sz val="8"/>
        <color theme="1"/>
        <rFont val="Calibri"/>
        <family val="2"/>
        <scheme val="minor"/>
      </rPr>
      <t>06'87"
P 57</t>
    </r>
    <r>
      <rPr>
        <sz val="8"/>
        <color theme="1"/>
        <rFont val="Arial"/>
        <family val="2"/>
        <charset val="186"/>
      </rPr>
      <t>º</t>
    </r>
    <r>
      <rPr>
        <sz val="8"/>
        <color theme="1"/>
        <rFont val="Calibri"/>
        <family val="2"/>
        <scheme val="minor"/>
      </rPr>
      <t>01'91"</t>
    </r>
  </si>
  <si>
    <t>Dzelzsbetona plātņu</t>
  </si>
  <si>
    <t>6615 Graudi- Kāši</t>
  </si>
  <si>
    <t>6616 Akenstaka-Rūpnieki-Kalēji</t>
  </si>
  <si>
    <t>6617 Pērkonīši- Rogaiņi (Sviestiņi)</t>
  </si>
  <si>
    <t>6618 Pērkonīši- Upkalni- Krustkalni</t>
  </si>
  <si>
    <t>Kopā Mores pagasta B grupas ceļi</t>
  </si>
  <si>
    <t>Siguldas novada pašvaldības ikdienas uzturēšanas ceļu saraksts B grupas ceļiem Allažu pagastā</t>
  </si>
  <si>
    <t>4201 Vecumnieki - Pullēni</t>
  </si>
  <si>
    <t>4203 Vecumnieki - Bisenieki</t>
  </si>
  <si>
    <t>4204 Egļupes ceļš-Mežāres</t>
  </si>
  <si>
    <t>Atzars uz Bisenieku ceļu</t>
  </si>
  <si>
    <t>4206 Baznīca - kapliča</t>
  </si>
  <si>
    <t>4207 Pansionāts - Silciems</t>
  </si>
  <si>
    <t>4208 Dārznieki - Vizbuļi</t>
  </si>
  <si>
    <t>4213 Pansionāts-Alkšņi</t>
  </si>
  <si>
    <t>4214 Lūši - Robežnieki</t>
  </si>
  <si>
    <t>4215 Anšpēteri - Pansionāts</t>
  </si>
  <si>
    <t>4216 Mazvildas - Rumpji</t>
  </si>
  <si>
    <t xml:space="preserve">4217 Mazvildas - Sostes </t>
  </si>
  <si>
    <t>4219 Rudiņi - Anšpēteri</t>
  </si>
  <si>
    <t>Atzars A1 un A2</t>
  </si>
  <si>
    <t>4220 Stūri - Bračas</t>
  </si>
  <si>
    <t>4221 Darbnīca - Stīpnieki - Bulduri</t>
  </si>
  <si>
    <t>4226 Lapaiņi - Akmentiņi</t>
  </si>
  <si>
    <t>4227 Zemnieki - Skruntes</t>
  </si>
  <si>
    <t>4228 Kalni - Pādes</t>
  </si>
  <si>
    <t>4229 Šķiliņi - Ozolkalns</t>
  </si>
  <si>
    <t xml:space="preserve">Atzars (patapinājuma līgums) </t>
  </si>
  <si>
    <t>80420090018; 80420090020; 80420090047</t>
  </si>
  <si>
    <t>4230 Līdumi - Rūtiņi</t>
  </si>
  <si>
    <t>4233 Lāčplēši - Augšciems</t>
  </si>
  <si>
    <t>4235 Greznkalni-Pumpuri</t>
  </si>
  <si>
    <t>4236 Pūpoli - Mūrnieki</t>
  </si>
  <si>
    <t>4239 Pullēni -Ezerkalni</t>
  </si>
  <si>
    <t>4240 Vecais Pullēnu ceļš</t>
  </si>
  <si>
    <t>4241 Pullēni - Strazdiņi</t>
  </si>
  <si>
    <t>4243 Pullēni - Plānupe</t>
  </si>
  <si>
    <t>4244 Putniņi - Tiltiņi</t>
  </si>
  <si>
    <t>Tumšupes tilts</t>
  </si>
  <si>
    <r>
      <t>G 24</t>
    </r>
    <r>
      <rPr>
        <sz val="8"/>
        <color theme="1"/>
        <rFont val="Arial"/>
        <family val="2"/>
        <charset val="186"/>
      </rPr>
      <t>º</t>
    </r>
    <r>
      <rPr>
        <sz val="8"/>
        <color theme="1"/>
        <rFont val="Calibri"/>
        <family val="2"/>
        <scheme val="minor"/>
      </rPr>
      <t>42'33"
P 57</t>
    </r>
    <r>
      <rPr>
        <sz val="8"/>
        <color theme="1"/>
        <rFont val="Arial"/>
        <family val="2"/>
        <charset val="186"/>
      </rPr>
      <t>º</t>
    </r>
    <r>
      <rPr>
        <sz val="8"/>
        <color theme="1"/>
        <rFont val="Calibri"/>
        <family val="2"/>
        <scheme val="minor"/>
      </rPr>
      <t>01'53"</t>
    </r>
  </si>
  <si>
    <t>4245 P3-Dalbji</t>
  </si>
  <si>
    <t>šķērso 5 īpašumus</t>
  </si>
  <si>
    <t>Kopā Allažu pagasta B grupas ceļi</t>
  </si>
  <si>
    <t>Siguldas novada pašvaldības ikdienas uzturēšanas ceļu saraksts B grupas ceļiem Mālpils pagastā</t>
  </si>
  <si>
    <t>7404 Jumacēni-Žīburti-Ceļmalnieki</t>
  </si>
  <si>
    <t>7405 Bukas – Burtnieki</t>
  </si>
  <si>
    <t>80740010439; 80740010154</t>
  </si>
  <si>
    <t>7406 Bukas-Žīburti-Tūžas</t>
  </si>
  <si>
    <t>80740010208; 80740020066</t>
  </si>
  <si>
    <t>7407 Siksnas-Burtnieki-Bramaņi</t>
  </si>
  <si>
    <t>Nr.2</t>
  </si>
  <si>
    <t>X=324026; Y=557128</t>
  </si>
  <si>
    <t>Dz/betona</t>
  </si>
  <si>
    <t xml:space="preserve">7408 Bukas-Bauskas- Mergupes  </t>
  </si>
  <si>
    <t>Nr.4</t>
  </si>
  <si>
    <t>X=319448; Y=560111</t>
  </si>
  <si>
    <t>807400 0212; 80740030792; 80740030885</t>
  </si>
  <si>
    <t>7409 Žučkas-Ābelītes</t>
  </si>
  <si>
    <t>7410 Sidrabiņas-Podiņi</t>
  </si>
  <si>
    <t>80740030657; 80740030952</t>
  </si>
  <si>
    <t>7411 Baņģi-Pilskalni</t>
  </si>
  <si>
    <t>Nr.3</t>
  </si>
  <si>
    <t>X=317693; Y=565192</t>
  </si>
  <si>
    <t>Dz/beona</t>
  </si>
  <si>
    <t>80740040256; 80740040112; 80740040009001</t>
  </si>
  <si>
    <t>7412 Baņģi-Ķiberes</t>
  </si>
  <si>
    <t>7413 Ādmiņi-Vēveri</t>
  </si>
  <si>
    <t>80740060260; 80740030671</t>
  </si>
  <si>
    <t>7414 Čušļi-Lībenes-Vildeni</t>
  </si>
  <si>
    <t>7415 Ģistas-Krustkalni</t>
  </si>
  <si>
    <t>7416 Vecpils-Sliseri-Bebri</t>
  </si>
  <si>
    <t>7417 Upmalas-Vīzēni</t>
  </si>
  <si>
    <t xml:space="preserve">7418 Sidgundas p.f.-Kalnakreiči  </t>
  </si>
  <si>
    <t xml:space="preserve">7419 Gravas-Pļavkalni-Sidgunda </t>
  </si>
  <si>
    <t>80740020111; 80740050288</t>
  </si>
  <si>
    <t>7420 Ozolāji-Mieriņi</t>
  </si>
  <si>
    <t>7421 Kotkalni Tērces</t>
  </si>
  <si>
    <t>80740050273; 80740050174001</t>
  </si>
  <si>
    <t>7422 Smilgas-Atpūtas</t>
  </si>
  <si>
    <t xml:space="preserve">7423 Sidgunda-Ezeri-Karde </t>
  </si>
  <si>
    <t>80740050305; 80740050615; 80740050243002</t>
  </si>
  <si>
    <t>7424 Sidgundas dzelzceļa stac.- Zeltiņi</t>
  </si>
  <si>
    <t>80740050313; 80740050243003</t>
  </si>
  <si>
    <t>7425 Sidgundas meh. darbn.-Liepiņas</t>
  </si>
  <si>
    <t>7426 Vadzeles-Brieži</t>
  </si>
  <si>
    <t>80740060259; 80740060123005; 80740060074007</t>
  </si>
  <si>
    <t>7427 Jaunbūņas-Avotiņi</t>
  </si>
  <si>
    <t>7428 Žīburti-Lejasžīburti</t>
  </si>
  <si>
    <t>7429 Dzelzītes-Benzemnieki-Birzmaļi</t>
  </si>
  <si>
    <t xml:space="preserve">7430 Inciems-Ķegums-Jaunūdri </t>
  </si>
  <si>
    <t>7431 Liepkalni- Vēži-Tuntuļi</t>
  </si>
  <si>
    <t>80740050404; 80740050522</t>
  </si>
  <si>
    <t>7432 Audriņi-Kalnalapas</t>
  </si>
  <si>
    <t>7433 Jaunītes-Bērzkalni</t>
  </si>
  <si>
    <t>7434 Tauriņi- Pļavgaļi-Taigas- Birzes</t>
  </si>
  <si>
    <t>7435 Ziediņi-Sidgundas f.-Paegļi</t>
  </si>
  <si>
    <t>7436 Ceļmalnieki- Zemnieki- Kurlēni</t>
  </si>
  <si>
    <t>7437 Mālpils- Kliģene- Ēmuri</t>
  </si>
  <si>
    <t>7438 Sidgunda-Ropaži- Ceplīši</t>
  </si>
  <si>
    <t>7439 Vites kompleksa iebrauktuve</t>
  </si>
  <si>
    <t>7440 Ļauļas – Silenieki</t>
  </si>
  <si>
    <t>7441 Sidgundas Parks- Klintis</t>
  </si>
  <si>
    <t>Kopā Mālpils pagasta B grupas ceļi</t>
  </si>
  <si>
    <t>Siguldas novada pašvaldības ikdienas uzturēšanas ceļu saraksts B grupas ceļiem Inčukalna pagastā</t>
  </si>
  <si>
    <t>6404 Stacija-Eglītes</t>
  </si>
  <si>
    <t>6405 Uz Apiņiem</t>
  </si>
  <si>
    <t>80640050139</t>
  </si>
  <si>
    <t>6406 Ceļš uz Kastaņām</t>
  </si>
  <si>
    <t>80640050205</t>
  </si>
  <si>
    <t>6407 Ceļš uz Pūcēm</t>
  </si>
  <si>
    <t>80640050034; 
80640050085</t>
  </si>
  <si>
    <t>80640050204</t>
  </si>
  <si>
    <t>80640080024; 
80640080031</t>
  </si>
  <si>
    <t>6408 Ceļš uz Tīšiem</t>
  </si>
  <si>
    <t>80640080202</t>
  </si>
  <si>
    <t>80640080357</t>
  </si>
  <si>
    <t>6409 Uz Meža Mieru</t>
  </si>
  <si>
    <t>80640080215</t>
  </si>
  <si>
    <t>6410 Vangažu pilsēta-Lejasmuižnieki</t>
  </si>
  <si>
    <t>6411 Uz Marheļiem</t>
  </si>
  <si>
    <t>6412 Ferma "Vangaži"</t>
  </si>
  <si>
    <t>6413 Vangažu baznīca-Kārļzemnieki</t>
  </si>
  <si>
    <t>6414 Uz Apakšstaciju</t>
  </si>
  <si>
    <t>6415 Ceļš pie Stalšēniem</t>
  </si>
  <si>
    <t>6416 No šosejas uz Siliem</t>
  </si>
  <si>
    <t>6417 Totāls-Silzemnieki</t>
  </si>
  <si>
    <t>6418 Uz Dzirnavu dīķi</t>
  </si>
  <si>
    <t>6419 Uz Grantiņiem</t>
  </si>
  <si>
    <t>6420 Uz Smaidām</t>
  </si>
  <si>
    <t>80640060354; 
80640060355</t>
  </si>
  <si>
    <t>80640060415; 80640030004; 80640060527</t>
  </si>
  <si>
    <t>6421 Ceļš uz Saknītēm</t>
  </si>
  <si>
    <t>6422 Uz purvu</t>
  </si>
  <si>
    <t>6423 Virši-zvēru ferma</t>
  </si>
  <si>
    <t>6424 Ceļš uz Rampām</t>
  </si>
  <si>
    <t>6425 Vecā šoseja pie Silciema</t>
  </si>
  <si>
    <t>6426 Vecbrenguļi-Lejiņas</t>
  </si>
  <si>
    <t>6427 Ceļš pie Zīlniekiem</t>
  </si>
  <si>
    <t>6428 Baznīca-Katrīnas ceļš</t>
  </si>
  <si>
    <t>6429 Pie Orloviem</t>
  </si>
  <si>
    <t>6430 Pašvaldības ceļš (uz Mētrām)</t>
  </si>
  <si>
    <t>6431 Sēņotāju ceļš</t>
  </si>
  <si>
    <t>6432 Bez adreses (uz Adumiem)</t>
  </si>
  <si>
    <t>6433 Inčukalns-Kļavas</t>
  </si>
  <si>
    <t>6434 Ceļš uz Karjeriem</t>
  </si>
  <si>
    <t>6435 Ceļš uz Mārsiliem</t>
  </si>
  <si>
    <t>6436 Ceļš uz Jaunajiem kapiem</t>
  </si>
  <si>
    <t>6437 Kārļzemnieki-Zuši</t>
  </si>
  <si>
    <t>80640020720; 
80640020718</t>
  </si>
  <si>
    <t>Pašvaldības zemes gabals, kuram pretī ir 80640020720; 
80640020718</t>
  </si>
  <si>
    <t>80640020643; 80640020629; 
80640020665; 
80640020639</t>
  </si>
  <si>
    <t>80640020534; 
80640020606</t>
  </si>
  <si>
    <t>Kopā Inčukalna pagasta B grupas ceļi</t>
  </si>
  <si>
    <t>Siguldas novada pašvaldības ikdienas uzturēšanas ceļu saraksts B grupas ceļiem Krimuldas pagastā</t>
  </si>
  <si>
    <t>6807 Dzirnavas - Pausku šķūnis</t>
  </si>
  <si>
    <t>Briedīšu t.</t>
  </si>
  <si>
    <t>E 24°39'11"
N 57°11'10"</t>
  </si>
  <si>
    <t>Dzelzsbet.</t>
  </si>
  <si>
    <t>6808 Čārpas - Ziemeļu kapi - Dzirnavas</t>
  </si>
  <si>
    <t>6809 Mangaļi - Zilkalni - Mežlapiņas</t>
  </si>
  <si>
    <t>6810 Tūtumi - Valmieras šosejas vecais c.posms</t>
  </si>
  <si>
    <t>6811 Lejasdzeguzes - Valmieras ceļš</t>
  </si>
  <si>
    <t>6812 Papardes - Taigu ceļš</t>
  </si>
  <si>
    <t>6813 Ezerkalni - Dreimaņi</t>
  </si>
  <si>
    <t>6814 Ģīmju ceļš</t>
  </si>
  <si>
    <t>6815 Riemeri - Auniškalni - Puriņi</t>
  </si>
  <si>
    <t>6816 Valmieras šoseja - Birzgaļi</t>
  </si>
  <si>
    <t>6817 Vecteiči - Rudzīši - Valmieras šoseja</t>
  </si>
  <si>
    <t>6818 P8 - Dimzas</t>
  </si>
  <si>
    <t>80680060042015</t>
  </si>
  <si>
    <t>6819 Krustiņi - Stokas - Skrāpji</t>
  </si>
  <si>
    <t>6820 Graši - Austriņi - Igauņi</t>
  </si>
  <si>
    <t>6821 Igauņi - Viešas -Bēršlejas</t>
  </si>
  <si>
    <t>6822 Turaidas kapi - Ķieģeļceplis</t>
  </si>
  <si>
    <t>6823 Pakuļi - Kalnbisenieki</t>
  </si>
  <si>
    <t>6824 Birznieki - Kalna Melderīši</t>
  </si>
  <si>
    <t>6825 Turaidas šoseja - Austrumi</t>
  </si>
  <si>
    <t>80680090388001</t>
  </si>
  <si>
    <t>6826 Ilgas - Birznieki - Turaida</t>
  </si>
  <si>
    <t>6827 Bušelis - Rītiņi</t>
  </si>
  <si>
    <t>6828 Rebi - Vidusraudas</t>
  </si>
  <si>
    <t>80680020004011</t>
  </si>
  <si>
    <t>80680020164001</t>
  </si>
  <si>
    <t>6829 Strautiņi - Vidusraudas</t>
  </si>
  <si>
    <t>80680020095001</t>
  </si>
  <si>
    <t>6830 Turaidas šoseja - Ģērbumi - Ciedras</t>
  </si>
  <si>
    <t>80680080039007</t>
  </si>
  <si>
    <t>80680090419001</t>
  </si>
  <si>
    <t>6831 Putniņi - Staņģi</t>
  </si>
  <si>
    <t>6832 Sedelnieki - Graši</t>
  </si>
  <si>
    <t>6833 Kalnlīves - Bušelis</t>
  </si>
  <si>
    <t>6834 Ērgļi - Melandri - Mālkalni</t>
  </si>
  <si>
    <t>80680080200001</t>
  </si>
  <si>
    <t>6835 Kapūnas - Priedes - Lauvas</t>
  </si>
  <si>
    <t>80680100045009</t>
  </si>
  <si>
    <t>6836 Dārza iela – Kapūnas</t>
  </si>
  <si>
    <t>80680070408001</t>
  </si>
  <si>
    <t>6837 A3 - Laimas - Vējiņi - meh.sektors - Valmieras ceļš</t>
  </si>
  <si>
    <t>80680070348002</t>
  </si>
  <si>
    <t>6838 Ceļš uz mehānisko sektoru</t>
  </si>
  <si>
    <t>6839 Almucas - Zābaki - Plūdoņi</t>
  </si>
  <si>
    <t>80680100073009</t>
  </si>
  <si>
    <t>80680100138</t>
  </si>
  <si>
    <t>80680100037009</t>
  </si>
  <si>
    <t>6840 Almucas-Estrāde</t>
  </si>
  <si>
    <t>6841 Sārumsila ceļš</t>
  </si>
  <si>
    <t>6842 Krasta ceļš</t>
  </si>
  <si>
    <t>Kopā Krimuldas pagasta B grupas ceļi</t>
  </si>
  <si>
    <t>Siguldas novada pašvaldības ikdienas uzturēšanas ceļu saraksts B grupas ceļiem Lēdurgas pagastā</t>
  </si>
  <si>
    <t>5604 Akoti - Lisicas</t>
  </si>
  <si>
    <t>5605 Alkšņi - Aijaži</t>
  </si>
  <si>
    <t>5606 Alkšņi – Upmaļi</t>
  </si>
  <si>
    <t>5607 Akoti - Burkāni</t>
  </si>
  <si>
    <t>5608 Centrs - Ratnieki</t>
  </si>
  <si>
    <t>5609 Mežniecība - Kaktiņi</t>
  </si>
  <si>
    <t>5610 Mežniecība - Sviņķi</t>
  </si>
  <si>
    <t>5611 Lapsas - Zvejnieki</t>
  </si>
  <si>
    <t>5612 Lapsas - Rožkalni</t>
  </si>
  <si>
    <t>5613 Mudurgas - Ķipkalni</t>
  </si>
  <si>
    <t>Aģes tilts</t>
  </si>
  <si>
    <t>E 24°44'60"
N 57°18'47"</t>
  </si>
  <si>
    <t>5614 Tiltgaļi - Vecurči</t>
  </si>
  <si>
    <t>5615 Zaltes - Aģes ezers</t>
  </si>
  <si>
    <t>5616 Rīti - Pandas</t>
  </si>
  <si>
    <t>5617 Lodes - Ozoli</t>
  </si>
  <si>
    <t>5618 Romeži - Laukkalni</t>
  </si>
  <si>
    <t>5619 Mežāres - Melnsalas</t>
  </si>
  <si>
    <t>5620 Ābelītes - Eglaines</t>
  </si>
  <si>
    <t>5621 Dārziņi - Kauliņi</t>
  </si>
  <si>
    <t>5622 Ziedi - Kuguļi</t>
  </si>
  <si>
    <t>5623 Rentes - Gaiļi</t>
  </si>
  <si>
    <t>Kopā Lēdurgas pagasta B grupas ceļi</t>
  </si>
  <si>
    <t>Kopā Siguldas novada B grupas ceļi</t>
  </si>
  <si>
    <t>Datums</t>
  </si>
  <si>
    <r>
      <t xml:space="preserve">Sagatavoja  </t>
    </r>
    <r>
      <rPr>
        <u/>
        <sz val="8"/>
        <rFont val="Arial"/>
        <family val="2"/>
        <charset val="186"/>
      </rPr>
      <t xml:space="preserve">                                                                                                                                                          </t>
    </r>
  </si>
  <si>
    <t>Ceļu būvinženieris Rihards Keišs</t>
  </si>
  <si>
    <t>(amats, vārds, uzvārds )</t>
  </si>
  <si>
    <t>(paraksts)</t>
  </si>
  <si>
    <t>Apstiprināja</t>
  </si>
  <si>
    <t>Siguldas novada domes izpilddirektors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</si>
</sst>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16" x14ac:knownFonts="1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vertAlign val="superscript"/>
      <sz val="8"/>
      <name val="Arial"/>
      <family val="2"/>
      <charset val="186"/>
    </font>
    <font>
      <i/>
      <sz val="7"/>
      <name val="Arial"/>
      <family val="2"/>
      <charset val="186"/>
    </font>
    <font>
      <i/>
      <sz val="8"/>
      <color theme="1"/>
      <name val="Calibri"/>
      <family val="2"/>
      <charset val="186"/>
      <scheme val="minor"/>
    </font>
    <font>
      <sz val="8"/>
      <color theme="1"/>
      <name val="Arial"/>
      <family val="2"/>
      <charset val="186"/>
    </font>
    <font>
      <i/>
      <sz val="8"/>
      <name val="Arial"/>
      <family val="2"/>
      <charset val="186"/>
    </font>
    <font>
      <sz val="8"/>
      <name val="Calibri"/>
      <family val="2"/>
      <scheme val="minor"/>
    </font>
    <font>
      <sz val="8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u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8">
    <xf numFmtId="0" fontId="0" fillId="0" borderId="0" xfId="0"/>
    <xf numFmtId="0" fontId="1" fillId="0" borderId="0" xfId="0" applyFont="1"/>
    <xf numFmtId="0" fontId="3" fillId="0" borderId="0" xfId="1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vertical="center"/>
    </xf>
    <xf numFmtId="0" fontId="4" fillId="0" borderId="6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0" xfId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164" fontId="4" fillId="0" borderId="9" xfId="2" applyNumberFormat="1" applyFont="1" applyBorder="1" applyAlignment="1">
      <alignment horizontal="center" vertical="center" wrapText="1"/>
    </xf>
    <xf numFmtId="164" fontId="4" fillId="0" borderId="14" xfId="2" applyNumberFormat="1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64" fontId="4" fillId="0" borderId="9" xfId="2" applyNumberFormat="1" applyFont="1" applyBorder="1" applyAlignment="1">
      <alignment horizontal="center" vertical="center" wrapText="1"/>
    </xf>
    <xf numFmtId="164" fontId="4" fillId="0" borderId="15" xfId="2" applyNumberFormat="1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1" fontId="8" fillId="0" borderId="9" xfId="2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9" fillId="0" borderId="5" xfId="0" applyFont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8" xfId="0" applyFont="1" applyBorder="1"/>
    <xf numFmtId="0" fontId="1" fillId="0" borderId="14" xfId="0" applyFont="1" applyBorder="1"/>
    <xf numFmtId="0" fontId="1" fillId="0" borderId="3" xfId="0" applyFont="1" applyBorder="1" applyAlignment="1">
      <alignment wrapText="1"/>
    </xf>
    <xf numFmtId="0" fontId="1" fillId="0" borderId="15" xfId="0" applyFont="1" applyBorder="1"/>
    <xf numFmtId="0" fontId="1" fillId="0" borderId="2" xfId="0" applyFont="1" applyBorder="1" applyAlignment="1">
      <alignment wrapText="1"/>
    </xf>
    <xf numFmtId="2" fontId="1" fillId="0" borderId="13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2" fontId="1" fillId="0" borderId="9" xfId="0" applyNumberFormat="1" applyFont="1" applyBorder="1"/>
    <xf numFmtId="0" fontId="1" fillId="0" borderId="9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11" xfId="2" applyFont="1" applyBorder="1" applyAlignment="1">
      <alignment horizontal="center"/>
    </xf>
    <xf numFmtId="1" fontId="6" fillId="0" borderId="9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4" fontId="6" fillId="0" borderId="9" xfId="2" applyNumberFormat="1" applyFont="1" applyBorder="1" applyAlignment="1">
      <alignment horizontal="center"/>
    </xf>
    <xf numFmtId="0" fontId="4" fillId="0" borderId="0" xfId="1" applyFont="1"/>
    <xf numFmtId="0" fontId="6" fillId="0" borderId="9" xfId="1" applyFont="1" applyBorder="1" applyAlignment="1">
      <alignment horizontal="center" wrapText="1"/>
    </xf>
    <xf numFmtId="0" fontId="6" fillId="0" borderId="9" xfId="1" applyFont="1" applyBorder="1" applyAlignment="1">
      <alignment horizontal="center"/>
    </xf>
    <xf numFmtId="0" fontId="6" fillId="0" borderId="11" xfId="2" applyFont="1" applyBorder="1" applyAlignment="1">
      <alignment horizontal="left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Border="1" applyAlignment="1">
      <alignment vertical="center"/>
    </xf>
    <xf numFmtId="4" fontId="6" fillId="0" borderId="0" xfId="2" applyNumberFormat="1" applyFont="1" applyAlignment="1">
      <alignment horizontal="center"/>
    </xf>
    <xf numFmtId="3" fontId="6" fillId="0" borderId="0" xfId="2" applyNumberFormat="1" applyFont="1"/>
    <xf numFmtId="3" fontId="6" fillId="0" borderId="0" xfId="2" applyNumberFormat="1" applyFont="1" applyAlignment="1">
      <alignment horizontal="center"/>
    </xf>
    <xf numFmtId="3" fontId="6" fillId="0" borderId="0" xfId="1" applyNumberFormat="1" applyFont="1" applyAlignment="1">
      <alignment horizontal="right"/>
    </xf>
    <xf numFmtId="0" fontId="4" fillId="0" borderId="11" xfId="2" applyFont="1" applyBorder="1" applyAlignment="1">
      <alignment horizontal="left" vertical="center"/>
    </xf>
    <xf numFmtId="0" fontId="4" fillId="0" borderId="12" xfId="2" applyFont="1" applyBorder="1" applyAlignment="1">
      <alignment horizontal="center" vertical="center"/>
    </xf>
    <xf numFmtId="0" fontId="4" fillId="0" borderId="12" xfId="2" applyFont="1" applyBorder="1" applyAlignment="1">
      <alignment vertical="center"/>
    </xf>
    <xf numFmtId="4" fontId="4" fillId="0" borderId="9" xfId="2" applyNumberFormat="1" applyFont="1" applyBorder="1" applyAlignment="1">
      <alignment horizontal="right"/>
    </xf>
    <xf numFmtId="4" fontId="4" fillId="0" borderId="0" xfId="2" applyNumberFormat="1" applyFont="1" applyAlignment="1">
      <alignment horizontal="right"/>
    </xf>
    <xf numFmtId="165" fontId="6" fillId="0" borderId="0" xfId="2" applyNumberFormat="1" applyFont="1"/>
    <xf numFmtId="3" fontId="4" fillId="0" borderId="0" xfId="2" applyNumberFormat="1" applyFont="1"/>
    <xf numFmtId="166" fontId="4" fillId="0" borderId="0" xfId="2" applyNumberFormat="1" applyFont="1" applyAlignment="1">
      <alignment horizontal="center" vertical="center"/>
    </xf>
    <xf numFmtId="165" fontId="6" fillId="0" borderId="9" xfId="1" applyNumberFormat="1" applyFont="1" applyBorder="1" applyAlignment="1">
      <alignment horizontal="right"/>
    </xf>
    <xf numFmtId="4" fontId="4" fillId="0" borderId="9" xfId="1" applyNumberFormat="1" applyFont="1" applyBorder="1"/>
    <xf numFmtId="165" fontId="4" fillId="0" borderId="9" xfId="1" applyNumberFormat="1" applyFont="1" applyBorder="1"/>
    <xf numFmtId="164" fontId="4" fillId="0" borderId="0" xfId="2" applyNumberFormat="1" applyFont="1" applyAlignment="1">
      <alignment horizontal="center"/>
    </xf>
    <xf numFmtId="1" fontId="6" fillId="0" borderId="9" xfId="1" applyNumberFormat="1" applyFont="1" applyBorder="1" applyAlignment="1">
      <alignment horizontal="right"/>
    </xf>
    <xf numFmtId="0" fontId="6" fillId="0" borderId="9" xfId="1" applyFont="1" applyBorder="1" applyAlignment="1">
      <alignment horizontal="right"/>
    </xf>
    <xf numFmtId="165" fontId="4" fillId="0" borderId="0" xfId="2" applyNumberFormat="1" applyFont="1" applyAlignment="1">
      <alignment horizontal="center"/>
    </xf>
    <xf numFmtId="0" fontId="0" fillId="0" borderId="0" xfId="0" applyAlignment="1">
      <alignment horizontal="center" vertical="center"/>
    </xf>
    <xf numFmtId="4" fontId="10" fillId="0" borderId="9" xfId="0" applyNumberFormat="1" applyFont="1" applyBorder="1"/>
    <xf numFmtId="165" fontId="10" fillId="0" borderId="9" xfId="0" applyNumberFormat="1" applyFont="1" applyBorder="1"/>
    <xf numFmtId="4" fontId="4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wrapText="1"/>
    </xf>
    <xf numFmtId="0" fontId="1" fillId="0" borderId="5" xfId="0" applyFont="1" applyBorder="1" applyAlignment="1">
      <alignment wrapText="1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8" fillId="0" borderId="10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9" fillId="0" borderId="6" xfId="0" applyFont="1" applyBorder="1" applyAlignment="1">
      <alignment horizontal="right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2" fontId="1" fillId="0" borderId="23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right" wrapText="1"/>
    </xf>
    <xf numFmtId="0" fontId="1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1" fontId="8" fillId="0" borderId="10" xfId="2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/>
    </xf>
    <xf numFmtId="0" fontId="0" fillId="0" borderId="9" xfId="0" applyBorder="1"/>
    <xf numFmtId="2" fontId="4" fillId="0" borderId="0" xfId="1" applyNumberFormat="1" applyFont="1" applyAlignment="1">
      <alignment horizontal="right"/>
    </xf>
    <xf numFmtId="2" fontId="4" fillId="0" borderId="9" xfId="1" applyNumberFormat="1" applyFont="1" applyBorder="1" applyAlignment="1">
      <alignment horizontal="right"/>
    </xf>
    <xf numFmtId="4" fontId="4" fillId="0" borderId="0" xfId="2" applyNumberFormat="1" applyFont="1"/>
    <xf numFmtId="2" fontId="1" fillId="0" borderId="0" xfId="0" applyNumberFormat="1" applyFont="1" applyAlignment="1">
      <alignment horizontal="center"/>
    </xf>
    <xf numFmtId="2" fontId="0" fillId="0" borderId="0" xfId="0" applyNumberFormat="1"/>
    <xf numFmtId="2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0" fillId="0" borderId="9" xfId="0" applyNumberFormat="1" applyBorder="1"/>
    <xf numFmtId="0" fontId="1" fillId="0" borderId="19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wrapText="1"/>
    </xf>
    <xf numFmtId="4" fontId="0" fillId="0" borderId="0" xfId="0" applyNumberFormat="1"/>
    <xf numFmtId="0" fontId="1" fillId="0" borderId="3" xfId="2" applyFont="1" applyBorder="1" applyAlignment="1">
      <alignment wrapText="1"/>
    </xf>
    <xf numFmtId="0" fontId="1" fillId="0" borderId="9" xfId="2" applyFont="1" applyBorder="1" applyAlignment="1">
      <alignment horizontal="center" vertical="center" wrapText="1"/>
    </xf>
    <xf numFmtId="2" fontId="1" fillId="0" borderId="13" xfId="2" applyNumberFormat="1" applyFont="1" applyBorder="1" applyAlignment="1">
      <alignment horizontal="center"/>
    </xf>
    <xf numFmtId="2" fontId="1" fillId="0" borderId="9" xfId="2" applyNumberFormat="1" applyFont="1" applyBorder="1" applyAlignment="1">
      <alignment horizontal="center"/>
    </xf>
    <xf numFmtId="0" fontId="1" fillId="0" borderId="9" xfId="2" applyFont="1" applyBorder="1" applyAlignment="1">
      <alignment horizontal="left"/>
    </xf>
    <xf numFmtId="0" fontId="1" fillId="0" borderId="9" xfId="2" applyFont="1" applyBorder="1" applyAlignment="1">
      <alignment horizontal="center"/>
    </xf>
    <xf numFmtId="0" fontId="13" fillId="0" borderId="9" xfId="0" applyFont="1" applyBorder="1" applyAlignment="1">
      <alignment vertical="center" wrapText="1"/>
    </xf>
    <xf numFmtId="0" fontId="1" fillId="0" borderId="5" xfId="2" applyFont="1" applyBorder="1" applyAlignment="1">
      <alignment wrapText="1"/>
    </xf>
    <xf numFmtId="1" fontId="1" fillId="0" borderId="9" xfId="2" applyNumberFormat="1" applyFont="1" applyBorder="1" applyAlignment="1">
      <alignment horizontal="center"/>
    </xf>
    <xf numFmtId="0" fontId="1" fillId="0" borderId="8" xfId="2" applyFont="1" applyBorder="1" applyAlignment="1">
      <alignment wrapText="1"/>
    </xf>
    <xf numFmtId="0" fontId="1" fillId="0" borderId="15" xfId="2" applyFont="1" applyBorder="1" applyAlignment="1">
      <alignment wrapText="1"/>
    </xf>
    <xf numFmtId="0" fontId="1" fillId="0" borderId="15" xfId="2" applyFont="1" applyBorder="1" applyAlignment="1">
      <alignment horizontal="center" vertical="center" wrapText="1"/>
    </xf>
    <xf numFmtId="0" fontId="1" fillId="0" borderId="10" xfId="2" applyFont="1" applyBorder="1" applyAlignment="1">
      <alignment wrapText="1"/>
    </xf>
    <xf numFmtId="0" fontId="1" fillId="0" borderId="10" xfId="2" applyFont="1" applyBorder="1" applyAlignment="1">
      <alignment horizontal="center" vertical="center" wrapText="1"/>
    </xf>
    <xf numFmtId="0" fontId="1" fillId="0" borderId="14" xfId="2" applyFont="1" applyBorder="1" applyAlignment="1">
      <alignment wrapText="1"/>
    </xf>
    <xf numFmtId="49" fontId="1" fillId="0" borderId="9" xfId="2" applyNumberFormat="1" applyFont="1" applyBorder="1" applyAlignment="1">
      <alignment horizontal="center"/>
    </xf>
    <xf numFmtId="0" fontId="12" fillId="0" borderId="3" xfId="2" applyFont="1" applyBorder="1" applyAlignment="1">
      <alignment wrapText="1"/>
    </xf>
    <xf numFmtId="0" fontId="12" fillId="0" borderId="9" xfId="2" applyFont="1" applyBorder="1" applyAlignment="1">
      <alignment horizontal="center" vertical="center" wrapText="1"/>
    </xf>
    <xf numFmtId="0" fontId="12" fillId="0" borderId="5" xfId="2" applyFont="1" applyBorder="1" applyAlignment="1">
      <alignment wrapText="1"/>
    </xf>
    <xf numFmtId="0" fontId="1" fillId="0" borderId="9" xfId="2" applyFont="1" applyBorder="1" applyAlignment="1">
      <alignment wrapText="1"/>
    </xf>
    <xf numFmtId="0" fontId="4" fillId="2" borderId="9" xfId="2" applyFont="1" applyFill="1" applyBorder="1" applyAlignment="1">
      <alignment horizontal="center"/>
    </xf>
    <xf numFmtId="0" fontId="14" fillId="0" borderId="8" xfId="2" applyFont="1" applyBorder="1" applyAlignment="1">
      <alignment horizontal="left" wrapText="1"/>
    </xf>
    <xf numFmtId="0" fontId="1" fillId="0" borderId="14" xfId="2" applyFont="1" applyBorder="1" applyAlignment="1">
      <alignment horizontal="center" vertical="center" wrapText="1"/>
    </xf>
    <xf numFmtId="0" fontId="1" fillId="0" borderId="13" xfId="2" applyFont="1" applyBorder="1"/>
    <xf numFmtId="0" fontId="1" fillId="0" borderId="12" xfId="2" applyFont="1" applyBorder="1" applyAlignment="1">
      <alignment horizontal="center" vertical="center"/>
    </xf>
    <xf numFmtId="0" fontId="1" fillId="0" borderId="5" xfId="2" applyFont="1" applyBorder="1"/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13" xfId="2" applyFont="1" applyBorder="1" applyAlignment="1">
      <alignment vertical="center"/>
    </xf>
    <xf numFmtId="2" fontId="1" fillId="0" borderId="9" xfId="2" applyNumberFormat="1" applyFont="1" applyBorder="1" applyAlignment="1">
      <alignment horizontal="center" vertical="center"/>
    </xf>
    <xf numFmtId="0" fontId="1" fillId="0" borderId="9" xfId="2" applyFont="1" applyBorder="1" applyAlignment="1">
      <alignment horizontal="left" vertical="center"/>
    </xf>
    <xf numFmtId="0" fontId="1" fillId="0" borderId="9" xfId="2" applyFont="1" applyBorder="1" applyAlignment="1">
      <alignment horizontal="center" vertical="center"/>
    </xf>
    <xf numFmtId="164" fontId="1" fillId="0" borderId="9" xfId="2" applyNumberFormat="1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8" xfId="2" applyFont="1" applyBorder="1"/>
    <xf numFmtId="0" fontId="1" fillId="0" borderId="3" xfId="2" applyFont="1" applyBorder="1"/>
    <xf numFmtId="0" fontId="4" fillId="0" borderId="24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24" xfId="1" applyFont="1" applyBorder="1"/>
    <xf numFmtId="164" fontId="4" fillId="0" borderId="24" xfId="2" applyNumberFormat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164" fontId="11" fillId="0" borderId="25" xfId="2" applyNumberFormat="1" applyFont="1" applyBorder="1" applyAlignment="1">
      <alignment horizontal="center"/>
    </xf>
  </cellXfs>
  <cellStyles count="3">
    <cellStyle name="Normal 2" xfId="1" xr:uid="{341DBB22-66EC-47D0-8E60-D5AA62B2E85D}"/>
    <cellStyle name="Parasts" xfId="0" builtinId="0"/>
    <cellStyle name="Parasts 2" xfId="2" xr:uid="{4FBE570F-50D6-47A8-AFDA-0C78F641C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50DFF-712B-4D36-90F7-0B73879AB858}">
  <dimension ref="A1:AF471"/>
  <sheetViews>
    <sheetView tabSelected="1" workbookViewId="0">
      <selection sqref="A1:XFD1048576"/>
    </sheetView>
  </sheetViews>
  <sheetFormatPr defaultColWidth="9.140625" defaultRowHeight="15" x14ac:dyDescent="0.25"/>
  <cols>
    <col min="1" max="1" width="4.85546875" customWidth="1"/>
    <col min="2" max="2" width="18.85546875" customWidth="1"/>
    <col min="3" max="3" width="10.85546875" customWidth="1"/>
    <col min="4" max="4" width="10.28515625" customWidth="1"/>
    <col min="5" max="5" width="9.28515625" customWidth="1"/>
    <col min="6" max="7" width="7.28515625" customWidth="1"/>
    <col min="8" max="9" width="9.28515625" customWidth="1"/>
    <col min="11" max="11" width="10" customWidth="1"/>
    <col min="12" max="13" width="10.85546875" customWidth="1"/>
    <col min="14" max="14" width="12" customWidth="1"/>
    <col min="15" max="15" width="9.85546875" customWidth="1"/>
    <col min="17" max="17" width="13.5703125" customWidth="1"/>
    <col min="18" max="18" width="14.7109375" customWidth="1"/>
    <col min="19" max="19" width="11.7109375" customWidth="1"/>
  </cols>
  <sheetData>
    <row r="1" spans="1:27" s="1" customFormat="1" x14ac:dyDescent="0.2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T1" s="3" t="s">
        <v>1</v>
      </c>
      <c r="U1" s="4" t="s">
        <v>2</v>
      </c>
      <c r="V1" s="4" t="s">
        <v>3</v>
      </c>
      <c r="W1" s="4" t="s">
        <v>4</v>
      </c>
      <c r="X1" s="5" t="s">
        <v>5</v>
      </c>
      <c r="Y1" s="6"/>
      <c r="Z1" s="7" t="s">
        <v>3</v>
      </c>
      <c r="AA1" s="8" t="s">
        <v>4</v>
      </c>
    </row>
    <row r="2" spans="1:27" s="1" customFormat="1" ht="11.25" x14ac:dyDescent="0.2">
      <c r="J2" s="9"/>
      <c r="R2" s="10" t="s">
        <v>6</v>
      </c>
      <c r="T2" s="11" t="s">
        <v>7</v>
      </c>
      <c r="U2" s="12"/>
      <c r="V2" s="12"/>
      <c r="W2" s="12"/>
      <c r="X2" s="13"/>
      <c r="Y2" s="6"/>
      <c r="Z2" s="14" t="s">
        <v>8</v>
      </c>
      <c r="AA2" s="15"/>
    </row>
    <row r="3" spans="1:27" s="1" customFormat="1" ht="12.75" x14ac:dyDescent="0.2">
      <c r="A3" s="16"/>
      <c r="B3" s="16"/>
      <c r="C3" s="16"/>
      <c r="D3" s="17" t="s">
        <v>9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  <c r="R3" s="19" t="s">
        <v>10</v>
      </c>
      <c r="T3" s="20" t="s">
        <v>11</v>
      </c>
      <c r="U3" s="21" t="s">
        <v>12</v>
      </c>
      <c r="V3" s="21" t="s">
        <v>13</v>
      </c>
      <c r="W3" s="21" t="s">
        <v>14</v>
      </c>
      <c r="X3" s="22" t="s">
        <v>15</v>
      </c>
      <c r="Y3" s="6"/>
      <c r="Z3" s="23" t="s">
        <v>16</v>
      </c>
      <c r="AA3" s="24" t="s">
        <v>14</v>
      </c>
    </row>
    <row r="4" spans="1:27" s="1" customFormat="1" ht="11.25" x14ac:dyDescent="0.2">
      <c r="A4" s="16"/>
      <c r="B4" s="16"/>
      <c r="C4" s="16"/>
      <c r="D4" s="25"/>
      <c r="E4" s="25"/>
      <c r="F4" s="25"/>
      <c r="G4" s="25"/>
      <c r="H4" s="18"/>
      <c r="I4" s="16"/>
      <c r="J4" s="16"/>
      <c r="K4" s="16"/>
      <c r="L4" s="16"/>
      <c r="M4" s="16"/>
      <c r="N4" s="26"/>
      <c r="O4" s="26"/>
      <c r="P4" s="16"/>
      <c r="Q4" s="16"/>
      <c r="R4" s="19" t="s">
        <v>17</v>
      </c>
    </row>
    <row r="5" spans="1:27" s="1" customFormat="1" ht="11.25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9" t="s">
        <v>18</v>
      </c>
    </row>
    <row r="6" spans="1:27" s="1" customFormat="1" ht="11.25" x14ac:dyDescent="0.2">
      <c r="A6" s="28" t="s">
        <v>19</v>
      </c>
      <c r="B6" s="29" t="s">
        <v>20</v>
      </c>
      <c r="C6" s="30"/>
      <c r="D6" s="31" t="s">
        <v>21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  <c r="Q6" s="34" t="s">
        <v>22</v>
      </c>
      <c r="R6" s="35"/>
    </row>
    <row r="7" spans="1:27" s="1" customFormat="1" ht="11.25" x14ac:dyDescent="0.2">
      <c r="A7" s="28"/>
      <c r="B7" s="36"/>
      <c r="C7" s="37"/>
      <c r="D7" s="38" t="s">
        <v>23</v>
      </c>
      <c r="E7" s="38"/>
      <c r="F7" s="38"/>
      <c r="G7" s="38"/>
      <c r="H7" s="38"/>
      <c r="I7" s="39" t="s">
        <v>24</v>
      </c>
      <c r="J7" s="39"/>
      <c r="K7" s="39"/>
      <c r="L7" s="39"/>
      <c r="M7" s="39"/>
      <c r="N7" s="39"/>
      <c r="O7" s="39"/>
      <c r="P7" s="40" t="s">
        <v>25</v>
      </c>
      <c r="Q7" s="41"/>
      <c r="R7" s="42"/>
    </row>
    <row r="8" spans="1:27" s="1" customFormat="1" ht="11.25" x14ac:dyDescent="0.2">
      <c r="A8" s="28"/>
      <c r="B8" s="36"/>
      <c r="C8" s="37"/>
      <c r="D8" s="38" t="s">
        <v>26</v>
      </c>
      <c r="E8" s="38"/>
      <c r="F8" s="28" t="s">
        <v>27</v>
      </c>
      <c r="G8" s="28" t="s">
        <v>28</v>
      </c>
      <c r="H8" s="28" t="s">
        <v>29</v>
      </c>
      <c r="I8" s="39" t="s">
        <v>30</v>
      </c>
      <c r="J8" s="39" t="s">
        <v>31</v>
      </c>
      <c r="K8" s="39"/>
      <c r="L8" s="43" t="s">
        <v>32</v>
      </c>
      <c r="M8" s="43" t="s">
        <v>33</v>
      </c>
      <c r="N8" s="43" t="s">
        <v>34</v>
      </c>
      <c r="O8" s="43" t="s">
        <v>35</v>
      </c>
      <c r="P8" s="44"/>
      <c r="Q8" s="44" t="s">
        <v>36</v>
      </c>
      <c r="R8" s="36" t="s">
        <v>37</v>
      </c>
    </row>
    <row r="9" spans="1:27" s="1" customFormat="1" ht="48.75" customHeight="1" x14ac:dyDescent="0.2">
      <c r="A9" s="28"/>
      <c r="B9" s="45"/>
      <c r="C9" s="46" t="s">
        <v>38</v>
      </c>
      <c r="D9" s="47" t="s">
        <v>39</v>
      </c>
      <c r="E9" s="47" t="s">
        <v>40</v>
      </c>
      <c r="F9" s="28"/>
      <c r="G9" s="28"/>
      <c r="H9" s="28"/>
      <c r="I9" s="39"/>
      <c r="J9" s="48" t="s">
        <v>41</v>
      </c>
      <c r="K9" s="48" t="s">
        <v>42</v>
      </c>
      <c r="L9" s="43"/>
      <c r="M9" s="43"/>
      <c r="N9" s="43"/>
      <c r="O9" s="43"/>
      <c r="P9" s="49"/>
      <c r="Q9" s="49"/>
      <c r="R9" s="45"/>
    </row>
    <row r="10" spans="1:27" s="1" customFormat="1" ht="11.25" x14ac:dyDescent="0.2">
      <c r="A10" s="50">
        <v>1</v>
      </c>
      <c r="B10" s="50">
        <v>2</v>
      </c>
      <c r="C10" s="50"/>
      <c r="D10" s="50">
        <v>3</v>
      </c>
      <c r="E10" s="50">
        <v>4</v>
      </c>
      <c r="F10" s="50">
        <v>5</v>
      </c>
      <c r="G10" s="50">
        <v>5.0999999999999996</v>
      </c>
      <c r="H10" s="50">
        <v>6</v>
      </c>
      <c r="I10" s="51">
        <v>7</v>
      </c>
      <c r="J10" s="51">
        <v>8</v>
      </c>
      <c r="K10" s="51">
        <v>9</v>
      </c>
      <c r="L10" s="51">
        <v>10</v>
      </c>
      <c r="M10" s="51">
        <v>11</v>
      </c>
      <c r="N10" s="51">
        <v>12</v>
      </c>
      <c r="O10" s="51">
        <v>13</v>
      </c>
      <c r="P10" s="51">
        <v>14</v>
      </c>
      <c r="Q10" s="51">
        <v>15</v>
      </c>
      <c r="R10" s="50">
        <v>16</v>
      </c>
    </row>
    <row r="11" spans="1:27" s="1" customFormat="1" ht="11.25" x14ac:dyDescent="0.2">
      <c r="A11" s="52">
        <v>1</v>
      </c>
      <c r="B11" s="53" t="s">
        <v>43</v>
      </c>
      <c r="C11" s="54" t="s">
        <v>4</v>
      </c>
      <c r="D11" s="55">
        <v>0</v>
      </c>
      <c r="E11" s="55">
        <v>0.74</v>
      </c>
      <c r="F11" s="56">
        <f>E11-D11</f>
        <v>0.74</v>
      </c>
      <c r="G11" s="57">
        <v>3.2</v>
      </c>
      <c r="H11" s="58" t="s">
        <v>44</v>
      </c>
      <c r="I11" s="58"/>
      <c r="J11" s="58"/>
      <c r="K11" s="59"/>
      <c r="L11" s="58"/>
      <c r="M11" s="58"/>
      <c r="N11" s="58"/>
      <c r="O11" s="58"/>
      <c r="P11" s="58"/>
      <c r="Q11" s="59">
        <v>80940010175</v>
      </c>
      <c r="R11" s="59">
        <v>80940010175</v>
      </c>
    </row>
    <row r="12" spans="1:27" s="1" customFormat="1" ht="11.25" x14ac:dyDescent="0.2">
      <c r="A12" s="52">
        <v>2</v>
      </c>
      <c r="B12" s="60" t="s">
        <v>45</v>
      </c>
      <c r="C12" s="61" t="s">
        <v>4</v>
      </c>
      <c r="D12" s="55">
        <v>0</v>
      </c>
      <c r="E12" s="55">
        <v>1.48</v>
      </c>
      <c r="F12" s="56">
        <f t="shared" ref="F12:F48" si="0">E12-D12</f>
        <v>1.48</v>
      </c>
      <c r="G12" s="57">
        <v>3.2</v>
      </c>
      <c r="H12" s="58" t="s">
        <v>44</v>
      </c>
      <c r="I12" s="58"/>
      <c r="J12" s="58"/>
      <c r="K12" s="59"/>
      <c r="L12" s="58"/>
      <c r="M12" s="58"/>
      <c r="N12" s="58"/>
      <c r="O12" s="58"/>
      <c r="P12" s="58"/>
      <c r="Q12" s="61">
        <v>80940010164</v>
      </c>
      <c r="R12" s="61">
        <v>80940010164</v>
      </c>
    </row>
    <row r="13" spans="1:27" s="1" customFormat="1" ht="11.25" x14ac:dyDescent="0.2">
      <c r="A13" s="62"/>
      <c r="B13" s="63"/>
      <c r="C13" s="61" t="s">
        <v>4</v>
      </c>
      <c r="D13" s="55">
        <v>1.48</v>
      </c>
      <c r="E13" s="55">
        <v>1.73</v>
      </c>
      <c r="F13" s="56">
        <f t="shared" si="0"/>
        <v>0.25</v>
      </c>
      <c r="G13" s="57">
        <v>3</v>
      </c>
      <c r="H13" s="58" t="s">
        <v>46</v>
      </c>
      <c r="I13" s="58"/>
      <c r="J13" s="58"/>
      <c r="K13" s="59"/>
      <c r="L13" s="58"/>
      <c r="M13" s="58"/>
      <c r="N13" s="58"/>
      <c r="O13" s="58"/>
      <c r="P13" s="58"/>
      <c r="Q13" s="61">
        <v>80940010164</v>
      </c>
      <c r="R13" s="61">
        <v>80940010164</v>
      </c>
    </row>
    <row r="14" spans="1:27" s="1" customFormat="1" ht="11.25" x14ac:dyDescent="0.2">
      <c r="A14" s="62"/>
      <c r="B14" s="64" t="s">
        <v>47</v>
      </c>
      <c r="C14" s="61" t="s">
        <v>4</v>
      </c>
      <c r="D14" s="55">
        <v>0</v>
      </c>
      <c r="E14" s="55">
        <v>0.16</v>
      </c>
      <c r="F14" s="56">
        <f t="shared" si="0"/>
        <v>0.16</v>
      </c>
      <c r="G14" s="57">
        <v>3.2</v>
      </c>
      <c r="H14" s="58" t="s">
        <v>44</v>
      </c>
      <c r="I14" s="58"/>
      <c r="J14" s="58"/>
      <c r="K14" s="59"/>
      <c r="L14" s="58"/>
      <c r="M14" s="58"/>
      <c r="N14" s="58"/>
      <c r="O14" s="58"/>
      <c r="P14" s="58"/>
      <c r="Q14" s="61">
        <v>80940010164</v>
      </c>
      <c r="R14" s="61">
        <v>80940010164</v>
      </c>
    </row>
    <row r="15" spans="1:27" s="1" customFormat="1" ht="11.25" x14ac:dyDescent="0.2">
      <c r="A15" s="52">
        <v>3</v>
      </c>
      <c r="B15" s="60" t="s">
        <v>48</v>
      </c>
      <c r="C15" s="61" t="s">
        <v>3</v>
      </c>
      <c r="D15" s="55">
        <v>0</v>
      </c>
      <c r="E15" s="55">
        <v>1.44</v>
      </c>
      <c r="F15" s="56">
        <f t="shared" si="0"/>
        <v>1.44</v>
      </c>
      <c r="G15" s="57">
        <v>4.5</v>
      </c>
      <c r="H15" s="58" t="s">
        <v>44</v>
      </c>
      <c r="I15" s="58"/>
      <c r="J15" s="58"/>
      <c r="K15" s="59"/>
      <c r="L15" s="58"/>
      <c r="M15" s="58"/>
      <c r="N15" s="58"/>
      <c r="O15" s="58"/>
      <c r="P15" s="58"/>
      <c r="Q15" s="61">
        <v>80940010172</v>
      </c>
      <c r="R15" s="61">
        <v>80940010172</v>
      </c>
    </row>
    <row r="16" spans="1:27" s="1" customFormat="1" ht="11.25" x14ac:dyDescent="0.2">
      <c r="A16" s="62"/>
      <c r="B16" s="63"/>
      <c r="C16" s="61" t="s">
        <v>3</v>
      </c>
      <c r="D16" s="55">
        <f>E15</f>
        <v>1.44</v>
      </c>
      <c r="E16" s="55">
        <f>D16+F16</f>
        <v>5.7799999999999994</v>
      </c>
      <c r="F16" s="56">
        <v>4.34</v>
      </c>
      <c r="G16" s="57">
        <v>3.5</v>
      </c>
      <c r="H16" s="58" t="s">
        <v>44</v>
      </c>
      <c r="I16" s="58"/>
      <c r="J16" s="58"/>
      <c r="K16" s="59"/>
      <c r="L16" s="58"/>
      <c r="M16" s="58"/>
      <c r="N16" s="58"/>
      <c r="O16" s="58"/>
      <c r="P16" s="58"/>
      <c r="Q16" s="65" t="s">
        <v>49</v>
      </c>
      <c r="R16" s="66">
        <v>80940010158</v>
      </c>
    </row>
    <row r="17" spans="1:18" s="1" customFormat="1" ht="11.25" x14ac:dyDescent="0.2">
      <c r="A17" s="67"/>
      <c r="B17" s="68"/>
      <c r="C17" s="61" t="s">
        <v>3</v>
      </c>
      <c r="D17" s="55">
        <f>E16</f>
        <v>5.7799999999999994</v>
      </c>
      <c r="E17" s="55">
        <f>D17+F17</f>
        <v>5.9799999999999995</v>
      </c>
      <c r="F17" s="56">
        <v>0.2</v>
      </c>
      <c r="G17" s="57">
        <v>3.5</v>
      </c>
      <c r="H17" s="58" t="s">
        <v>44</v>
      </c>
      <c r="I17" s="58"/>
      <c r="J17" s="58"/>
      <c r="K17" s="59"/>
      <c r="L17" s="58"/>
      <c r="M17" s="58"/>
      <c r="N17" s="58"/>
      <c r="O17" s="58"/>
      <c r="P17" s="58"/>
      <c r="Q17" s="65" t="s">
        <v>49</v>
      </c>
      <c r="R17" s="59">
        <v>80940010188</v>
      </c>
    </row>
    <row r="18" spans="1:18" s="1" customFormat="1" ht="11.25" x14ac:dyDescent="0.2">
      <c r="A18" s="62">
        <v>4</v>
      </c>
      <c r="B18" s="69" t="s">
        <v>50</v>
      </c>
      <c r="C18" s="54" t="s">
        <v>4</v>
      </c>
      <c r="D18" s="55">
        <v>0</v>
      </c>
      <c r="E18" s="55">
        <v>1.05</v>
      </c>
      <c r="F18" s="56">
        <f t="shared" si="0"/>
        <v>1.05</v>
      </c>
      <c r="G18" s="57">
        <v>3</v>
      </c>
      <c r="H18" s="58" t="s">
        <v>44</v>
      </c>
      <c r="I18" s="58"/>
      <c r="J18" s="58"/>
      <c r="K18" s="59"/>
      <c r="L18" s="58"/>
      <c r="M18" s="58"/>
      <c r="N18" s="58"/>
      <c r="O18" s="58"/>
      <c r="P18" s="58"/>
      <c r="Q18" s="59">
        <v>80940010171</v>
      </c>
      <c r="R18" s="59">
        <v>80940010171</v>
      </c>
    </row>
    <row r="19" spans="1:18" s="1" customFormat="1" ht="11.25" x14ac:dyDescent="0.2">
      <c r="A19" s="52">
        <v>5</v>
      </c>
      <c r="B19" s="60" t="s">
        <v>51</v>
      </c>
      <c r="C19" s="61" t="s">
        <v>3</v>
      </c>
      <c r="D19" s="55">
        <v>0.17</v>
      </c>
      <c r="E19" s="55">
        <v>1.02</v>
      </c>
      <c r="F19" s="56">
        <f t="shared" si="0"/>
        <v>0.85</v>
      </c>
      <c r="G19" s="57">
        <v>6</v>
      </c>
      <c r="H19" s="58" t="s">
        <v>44</v>
      </c>
      <c r="I19" s="58"/>
      <c r="J19" s="58"/>
      <c r="K19" s="59"/>
      <c r="L19" s="58"/>
      <c r="M19" s="58"/>
      <c r="N19" s="58"/>
      <c r="O19" s="58"/>
      <c r="P19" s="58"/>
      <c r="Q19" s="59">
        <v>80940040645</v>
      </c>
      <c r="R19" s="59">
        <v>80940040645</v>
      </c>
    </row>
    <row r="20" spans="1:18" s="1" customFormat="1" ht="11.25" x14ac:dyDescent="0.2">
      <c r="A20" s="62"/>
      <c r="B20" s="63"/>
      <c r="C20" s="61" t="s">
        <v>3</v>
      </c>
      <c r="D20" s="55">
        <v>1.02</v>
      </c>
      <c r="E20" s="55">
        <f>D20+0.15</f>
        <v>1.17</v>
      </c>
      <c r="F20" s="56">
        <f t="shared" si="0"/>
        <v>0.14999999999999991</v>
      </c>
      <c r="G20" s="57">
        <v>6</v>
      </c>
      <c r="H20" s="58" t="s">
        <v>44</v>
      </c>
      <c r="I20" s="58"/>
      <c r="J20" s="58"/>
      <c r="K20" s="59"/>
      <c r="L20" s="58"/>
      <c r="M20" s="58"/>
      <c r="N20" s="58"/>
      <c r="O20" s="58"/>
      <c r="P20" s="58"/>
      <c r="Q20" s="65" t="s">
        <v>49</v>
      </c>
      <c r="R20" s="59">
        <v>80940041176</v>
      </c>
    </row>
    <row r="21" spans="1:18" s="1" customFormat="1" ht="11.25" x14ac:dyDescent="0.2">
      <c r="A21" s="62"/>
      <c r="B21" s="63"/>
      <c r="C21" s="61" t="s">
        <v>3</v>
      </c>
      <c r="D21" s="55">
        <f>E20</f>
        <v>1.17</v>
      </c>
      <c r="E21" s="55">
        <f>D21+0.13</f>
        <v>1.2999999999999998</v>
      </c>
      <c r="F21" s="56">
        <f t="shared" si="0"/>
        <v>0.12999999999999989</v>
      </c>
      <c r="G21" s="57">
        <v>6</v>
      </c>
      <c r="H21" s="58" t="s">
        <v>44</v>
      </c>
      <c r="I21" s="58"/>
      <c r="J21" s="58"/>
      <c r="K21" s="59"/>
      <c r="L21" s="58"/>
      <c r="M21" s="58"/>
      <c r="N21" s="58"/>
      <c r="O21" s="58"/>
      <c r="P21" s="58"/>
      <c r="Q21" s="65" t="s">
        <v>49</v>
      </c>
      <c r="R21" s="59">
        <v>80940040096</v>
      </c>
    </row>
    <row r="22" spans="1:18" s="1" customFormat="1" ht="11.25" x14ac:dyDescent="0.2">
      <c r="A22" s="67"/>
      <c r="B22" s="68"/>
      <c r="C22" s="61" t="s">
        <v>3</v>
      </c>
      <c r="D22" s="55">
        <f>E21</f>
        <v>1.2999999999999998</v>
      </c>
      <c r="E22" s="55">
        <f>D22+0.06</f>
        <v>1.3599999999999999</v>
      </c>
      <c r="F22" s="56">
        <f t="shared" si="0"/>
        <v>6.0000000000000053E-2</v>
      </c>
      <c r="G22" s="57">
        <v>6</v>
      </c>
      <c r="H22" s="58" t="s">
        <v>44</v>
      </c>
      <c r="I22" s="58"/>
      <c r="J22" s="58"/>
      <c r="K22" s="59"/>
      <c r="L22" s="58"/>
      <c r="M22" s="58"/>
      <c r="N22" s="58"/>
      <c r="O22" s="58"/>
      <c r="P22" s="58"/>
      <c r="Q22" s="65" t="s">
        <v>49</v>
      </c>
      <c r="R22" s="66">
        <v>80940040828</v>
      </c>
    </row>
    <row r="23" spans="1:18" s="1" customFormat="1" ht="11.25" x14ac:dyDescent="0.2">
      <c r="A23" s="62">
        <v>6</v>
      </c>
      <c r="B23" s="63" t="s">
        <v>52</v>
      </c>
      <c r="C23" s="61" t="s">
        <v>4</v>
      </c>
      <c r="D23" s="55">
        <v>0</v>
      </c>
      <c r="E23" s="55">
        <v>0.66</v>
      </c>
      <c r="F23" s="56">
        <f t="shared" si="0"/>
        <v>0.66</v>
      </c>
      <c r="G23" s="57">
        <v>3.2</v>
      </c>
      <c r="H23" s="58" t="s">
        <v>46</v>
      </c>
      <c r="I23" s="58"/>
      <c r="J23" s="58"/>
      <c r="K23" s="59"/>
      <c r="L23" s="58"/>
      <c r="M23" s="58"/>
      <c r="N23" s="58"/>
      <c r="O23" s="58"/>
      <c r="P23" s="58"/>
      <c r="Q23" s="61">
        <v>80940040643</v>
      </c>
      <c r="R23" s="61">
        <v>80940040760</v>
      </c>
    </row>
    <row r="24" spans="1:18" s="1" customFormat="1" ht="11.25" x14ac:dyDescent="0.2">
      <c r="A24" s="62"/>
      <c r="B24" s="63"/>
      <c r="C24" s="61" t="s">
        <v>4</v>
      </c>
      <c r="D24" s="55">
        <v>0.66</v>
      </c>
      <c r="E24" s="55">
        <v>3.68</v>
      </c>
      <c r="F24" s="56">
        <f t="shared" si="0"/>
        <v>3.02</v>
      </c>
      <c r="G24" s="57">
        <v>3.2</v>
      </c>
      <c r="H24" s="58" t="s">
        <v>44</v>
      </c>
      <c r="I24" s="58"/>
      <c r="J24" s="58"/>
      <c r="K24" s="59"/>
      <c r="L24" s="58"/>
      <c r="M24" s="58"/>
      <c r="N24" s="58"/>
      <c r="O24" s="58"/>
      <c r="P24" s="58"/>
      <c r="Q24" s="61">
        <v>80940040643</v>
      </c>
      <c r="R24" s="61">
        <v>80940040643</v>
      </c>
    </row>
    <row r="25" spans="1:18" s="1" customFormat="1" ht="11.25" x14ac:dyDescent="0.2">
      <c r="A25" s="62"/>
      <c r="B25" s="63"/>
      <c r="C25" s="61" t="s">
        <v>4</v>
      </c>
      <c r="D25" s="55">
        <v>3.68</v>
      </c>
      <c r="E25" s="55">
        <v>3.95</v>
      </c>
      <c r="F25" s="56">
        <f t="shared" si="0"/>
        <v>0.27</v>
      </c>
      <c r="G25" s="57">
        <v>3.2</v>
      </c>
      <c r="H25" s="58" t="s">
        <v>44</v>
      </c>
      <c r="I25" s="58"/>
      <c r="J25" s="58"/>
      <c r="K25" s="59"/>
      <c r="L25" s="58"/>
      <c r="M25" s="58"/>
      <c r="N25" s="58"/>
      <c r="O25" s="58"/>
      <c r="P25" s="58"/>
      <c r="Q25" s="61">
        <v>80940040654</v>
      </c>
      <c r="R25" s="61">
        <v>80940040654</v>
      </c>
    </row>
    <row r="26" spans="1:18" s="1" customFormat="1" ht="11.25" x14ac:dyDescent="0.2">
      <c r="A26" s="62"/>
      <c r="B26" s="64" t="s">
        <v>53</v>
      </c>
      <c r="C26" s="61" t="s">
        <v>4</v>
      </c>
      <c r="D26" s="55">
        <v>0</v>
      </c>
      <c r="E26" s="55">
        <v>0.17</v>
      </c>
      <c r="F26" s="56">
        <f t="shared" si="0"/>
        <v>0.17</v>
      </c>
      <c r="G26" s="57">
        <v>3</v>
      </c>
      <c r="H26" s="58" t="s">
        <v>44</v>
      </c>
      <c r="I26" s="58"/>
      <c r="J26" s="58"/>
      <c r="K26" s="59"/>
      <c r="L26" s="58"/>
      <c r="M26" s="58"/>
      <c r="N26" s="58"/>
      <c r="O26" s="58"/>
      <c r="P26" s="58"/>
      <c r="Q26" s="61">
        <v>80940040643</v>
      </c>
      <c r="R26" s="61">
        <v>80940040643</v>
      </c>
    </row>
    <row r="27" spans="1:18" s="1" customFormat="1" ht="22.5" x14ac:dyDescent="0.2">
      <c r="A27" s="52">
        <v>7</v>
      </c>
      <c r="B27" s="70" t="s">
        <v>54</v>
      </c>
      <c r="C27" s="61" t="s">
        <v>3</v>
      </c>
      <c r="D27" s="55">
        <v>0</v>
      </c>
      <c r="E27" s="55">
        <v>3.46</v>
      </c>
      <c r="F27" s="56">
        <f t="shared" si="0"/>
        <v>3.46</v>
      </c>
      <c r="G27" s="57">
        <v>6</v>
      </c>
      <c r="H27" s="58" t="s">
        <v>44</v>
      </c>
      <c r="I27" s="58"/>
      <c r="J27" s="58"/>
      <c r="K27" s="59"/>
      <c r="L27" s="58"/>
      <c r="M27" s="58"/>
      <c r="N27" s="58"/>
      <c r="O27" s="58"/>
      <c r="P27" s="58"/>
      <c r="Q27" s="61">
        <v>80940040654</v>
      </c>
      <c r="R27" s="61">
        <v>80940040654</v>
      </c>
    </row>
    <row r="28" spans="1:18" s="1" customFormat="1" ht="11.25" x14ac:dyDescent="0.2">
      <c r="A28" s="67"/>
      <c r="B28" s="68"/>
      <c r="C28" s="61" t="s">
        <v>3</v>
      </c>
      <c r="D28" s="55">
        <v>3.46</v>
      </c>
      <c r="E28" s="55">
        <v>6.76</v>
      </c>
      <c r="F28" s="56">
        <f t="shared" si="0"/>
        <v>3.3</v>
      </c>
      <c r="G28" s="57">
        <v>6</v>
      </c>
      <c r="H28" s="58" t="s">
        <v>44</v>
      </c>
      <c r="I28" s="58"/>
      <c r="J28" s="58"/>
      <c r="K28" s="59"/>
      <c r="L28" s="58"/>
      <c r="M28" s="58"/>
      <c r="N28" s="58"/>
      <c r="O28" s="58"/>
      <c r="P28" s="58"/>
      <c r="Q28" s="61">
        <v>80940040654</v>
      </c>
      <c r="R28" s="61">
        <v>80940050290</v>
      </c>
    </row>
    <row r="29" spans="1:18" s="1" customFormat="1" ht="11.25" x14ac:dyDescent="0.2">
      <c r="A29" s="62">
        <v>8</v>
      </c>
      <c r="B29" s="69" t="s">
        <v>55</v>
      </c>
      <c r="C29" s="54" t="s">
        <v>4</v>
      </c>
      <c r="D29" s="55">
        <v>0</v>
      </c>
      <c r="E29" s="55">
        <v>2.46</v>
      </c>
      <c r="F29" s="56">
        <f t="shared" si="0"/>
        <v>2.46</v>
      </c>
      <c r="G29" s="57">
        <v>3</v>
      </c>
      <c r="H29" s="58" t="s">
        <v>44</v>
      </c>
      <c r="I29" s="58"/>
      <c r="J29" s="58"/>
      <c r="K29" s="59"/>
      <c r="L29" s="58"/>
      <c r="M29" s="58"/>
      <c r="N29" s="58"/>
      <c r="O29" s="58"/>
      <c r="P29" s="58"/>
      <c r="Q29" s="61">
        <v>80940050291</v>
      </c>
      <c r="R29" s="61">
        <v>80940050291</v>
      </c>
    </row>
    <row r="30" spans="1:18" s="1" customFormat="1" ht="11.25" x14ac:dyDescent="0.2">
      <c r="A30" s="52">
        <v>9</v>
      </c>
      <c r="B30" s="60" t="s">
        <v>56</v>
      </c>
      <c r="C30" s="61" t="s">
        <v>4</v>
      </c>
      <c r="D30" s="55">
        <v>0</v>
      </c>
      <c r="E30" s="55">
        <v>0.94</v>
      </c>
      <c r="F30" s="56">
        <f t="shared" si="0"/>
        <v>0.94</v>
      </c>
      <c r="G30" s="57">
        <v>4</v>
      </c>
      <c r="H30" s="58" t="s">
        <v>44</v>
      </c>
      <c r="I30" s="58"/>
      <c r="J30" s="58"/>
      <c r="K30" s="59"/>
      <c r="L30" s="58"/>
      <c r="M30" s="58"/>
      <c r="N30" s="58"/>
      <c r="O30" s="58"/>
      <c r="P30" s="58"/>
      <c r="Q30" s="61">
        <v>80940050292</v>
      </c>
      <c r="R30" s="61">
        <v>80940050292</v>
      </c>
    </row>
    <row r="31" spans="1:18" s="1" customFormat="1" ht="11.25" x14ac:dyDescent="0.2">
      <c r="A31" s="62"/>
      <c r="B31" s="63"/>
      <c r="C31" s="61" t="s">
        <v>4</v>
      </c>
      <c r="D31" s="55">
        <v>0.94</v>
      </c>
      <c r="E31" s="55">
        <f>D31+0.18</f>
        <v>1.1199999999999999</v>
      </c>
      <c r="F31" s="56">
        <f t="shared" si="0"/>
        <v>0.17999999999999994</v>
      </c>
      <c r="G31" s="57">
        <v>4</v>
      </c>
      <c r="H31" s="58" t="s">
        <v>44</v>
      </c>
      <c r="I31" s="58"/>
      <c r="J31" s="58"/>
      <c r="K31" s="59"/>
      <c r="L31" s="58"/>
      <c r="M31" s="58"/>
      <c r="N31" s="58"/>
      <c r="O31" s="58"/>
      <c r="P31" s="58"/>
      <c r="Q31" s="65" t="s">
        <v>49</v>
      </c>
      <c r="R31" s="59">
        <v>80940050068</v>
      </c>
    </row>
    <row r="32" spans="1:18" s="1" customFormat="1" ht="11.25" x14ac:dyDescent="0.2">
      <c r="A32" s="67"/>
      <c r="B32" s="68"/>
      <c r="C32" s="61" t="s">
        <v>4</v>
      </c>
      <c r="D32" s="55">
        <v>1.1200000000000001</v>
      </c>
      <c r="E32" s="55">
        <v>1.84</v>
      </c>
      <c r="F32" s="56">
        <v>0.72</v>
      </c>
      <c r="G32" s="57">
        <v>4</v>
      </c>
      <c r="H32" s="58" t="s">
        <v>44</v>
      </c>
      <c r="I32" s="58"/>
      <c r="J32" s="58"/>
      <c r="K32" s="59"/>
      <c r="L32" s="58"/>
      <c r="M32" s="58"/>
      <c r="N32" s="58"/>
      <c r="O32" s="58"/>
      <c r="P32" s="58"/>
      <c r="Q32" s="61">
        <v>80940050189</v>
      </c>
      <c r="R32" s="61">
        <v>80940050189</v>
      </c>
    </row>
    <row r="33" spans="1:32" s="1" customFormat="1" ht="11.25" x14ac:dyDescent="0.2">
      <c r="A33" s="67">
        <v>10</v>
      </c>
      <c r="B33" s="71" t="s">
        <v>57</v>
      </c>
      <c r="C33" s="54" t="s">
        <v>4</v>
      </c>
      <c r="D33" s="55">
        <v>0</v>
      </c>
      <c r="E33" s="55">
        <v>1.2</v>
      </c>
      <c r="F33" s="56">
        <f t="shared" si="0"/>
        <v>1.2</v>
      </c>
      <c r="G33" s="57">
        <v>3</v>
      </c>
      <c r="H33" s="58" t="s">
        <v>44</v>
      </c>
      <c r="I33" s="58"/>
      <c r="J33" s="58"/>
      <c r="K33" s="59"/>
      <c r="L33" s="58"/>
      <c r="M33" s="58"/>
      <c r="N33" s="58"/>
      <c r="O33" s="58"/>
      <c r="P33" s="58"/>
      <c r="Q33" s="59">
        <v>80940050293</v>
      </c>
      <c r="R33" s="59">
        <v>80940050293</v>
      </c>
    </row>
    <row r="34" spans="1:32" s="1" customFormat="1" ht="11.25" x14ac:dyDescent="0.2">
      <c r="A34" s="52">
        <v>11</v>
      </c>
      <c r="B34" s="53" t="s">
        <v>58</v>
      </c>
      <c r="C34" s="54" t="s">
        <v>4</v>
      </c>
      <c r="D34" s="55">
        <v>0</v>
      </c>
      <c r="E34" s="55">
        <v>0.28999999999999998</v>
      </c>
      <c r="F34" s="56">
        <f t="shared" si="0"/>
        <v>0.28999999999999998</v>
      </c>
      <c r="G34" s="57">
        <v>6</v>
      </c>
      <c r="H34" s="58" t="s">
        <v>59</v>
      </c>
      <c r="I34" s="58"/>
      <c r="J34" s="58"/>
      <c r="K34" s="59"/>
      <c r="L34" s="58"/>
      <c r="M34" s="58"/>
      <c r="N34" s="58"/>
      <c r="O34" s="58"/>
      <c r="P34" s="58"/>
      <c r="Q34" s="59">
        <v>80940050358</v>
      </c>
      <c r="R34" s="59">
        <v>80940050358</v>
      </c>
    </row>
    <row r="35" spans="1:32" s="1" customFormat="1" ht="22.5" x14ac:dyDescent="0.2">
      <c r="A35" s="52">
        <v>12</v>
      </c>
      <c r="B35" s="72" t="s">
        <v>60</v>
      </c>
      <c r="C35" s="61" t="s">
        <v>4</v>
      </c>
      <c r="D35" s="73">
        <v>0</v>
      </c>
      <c r="E35" s="55">
        <v>1.47</v>
      </c>
      <c r="F35" s="56">
        <f t="shared" si="0"/>
        <v>1.47</v>
      </c>
      <c r="G35" s="57">
        <v>6</v>
      </c>
      <c r="H35" s="58" t="s">
        <v>44</v>
      </c>
      <c r="I35" s="58"/>
      <c r="J35" s="58"/>
      <c r="K35" s="59"/>
      <c r="L35" s="58"/>
      <c r="M35" s="58"/>
      <c r="N35" s="58"/>
      <c r="O35" s="58"/>
      <c r="P35" s="58"/>
      <c r="Q35" s="59">
        <v>80940050417</v>
      </c>
      <c r="R35" s="59">
        <v>80940050417</v>
      </c>
    </row>
    <row r="36" spans="1:32" s="1" customFormat="1" ht="11.25" x14ac:dyDescent="0.2">
      <c r="A36" s="62"/>
      <c r="B36" s="74" t="s">
        <v>61</v>
      </c>
      <c r="C36" s="61" t="s">
        <v>4</v>
      </c>
      <c r="D36" s="73">
        <v>0</v>
      </c>
      <c r="E36" s="55">
        <v>0.16</v>
      </c>
      <c r="F36" s="56">
        <f t="shared" si="0"/>
        <v>0.16</v>
      </c>
      <c r="G36" s="57">
        <v>3</v>
      </c>
      <c r="H36" s="58" t="s">
        <v>44</v>
      </c>
      <c r="I36" s="58"/>
      <c r="J36" s="58"/>
      <c r="K36" s="59"/>
      <c r="L36" s="58"/>
      <c r="M36" s="58"/>
      <c r="N36" s="58"/>
      <c r="O36" s="58"/>
      <c r="P36" s="58"/>
      <c r="Q36" s="59">
        <v>80940050417</v>
      </c>
      <c r="R36" s="59">
        <v>80940050417</v>
      </c>
    </row>
    <row r="37" spans="1:32" s="1" customFormat="1" ht="11.25" x14ac:dyDescent="0.2">
      <c r="A37" s="52">
        <v>13</v>
      </c>
      <c r="B37" s="60" t="s">
        <v>62</v>
      </c>
      <c r="C37" s="61" t="s">
        <v>3</v>
      </c>
      <c r="D37" s="55">
        <v>0</v>
      </c>
      <c r="E37" s="55">
        <v>0.72</v>
      </c>
      <c r="F37" s="56">
        <f t="shared" si="0"/>
        <v>0.72</v>
      </c>
      <c r="G37" s="57">
        <v>7</v>
      </c>
      <c r="H37" s="58" t="s">
        <v>59</v>
      </c>
      <c r="I37" s="58"/>
      <c r="J37" s="58"/>
      <c r="K37" s="59"/>
      <c r="L37" s="58"/>
      <c r="M37" s="58"/>
      <c r="N37" s="58"/>
      <c r="O37" s="58"/>
      <c r="P37" s="75">
        <v>1803</v>
      </c>
      <c r="Q37" s="61">
        <v>80940040650</v>
      </c>
      <c r="R37" s="61">
        <v>80940040650</v>
      </c>
    </row>
    <row r="38" spans="1:32" s="1" customFormat="1" ht="11.25" x14ac:dyDescent="0.2">
      <c r="A38" s="62"/>
      <c r="B38" s="63"/>
      <c r="C38" s="61" t="s">
        <v>3</v>
      </c>
      <c r="D38" s="55">
        <v>0.72</v>
      </c>
      <c r="E38" s="55">
        <v>2.5299999999999998</v>
      </c>
      <c r="F38" s="56">
        <f t="shared" si="0"/>
        <v>1.8099999999999998</v>
      </c>
      <c r="G38" s="57">
        <v>7</v>
      </c>
      <c r="H38" s="58" t="s">
        <v>44</v>
      </c>
      <c r="I38" s="58"/>
      <c r="J38" s="58"/>
      <c r="K38" s="59"/>
      <c r="L38" s="58"/>
      <c r="M38" s="58"/>
      <c r="N38" s="58"/>
      <c r="O38" s="58"/>
      <c r="P38" s="58"/>
      <c r="Q38" s="61">
        <v>80940040650</v>
      </c>
      <c r="R38" s="61">
        <v>80940040650</v>
      </c>
    </row>
    <row r="39" spans="1:32" s="1" customFormat="1" ht="11.25" x14ac:dyDescent="0.2">
      <c r="A39" s="67"/>
      <c r="B39" s="68"/>
      <c r="C39" s="61" t="s">
        <v>3</v>
      </c>
      <c r="D39" s="55">
        <v>2.5299999999999998</v>
      </c>
      <c r="E39" s="55">
        <v>2.5599999999999996</v>
      </c>
      <c r="F39" s="56">
        <f t="shared" si="0"/>
        <v>2.9999999999999805E-2</v>
      </c>
      <c r="G39" s="57">
        <v>6</v>
      </c>
      <c r="H39" s="58" t="s">
        <v>46</v>
      </c>
      <c r="I39" s="58"/>
      <c r="J39" s="58"/>
      <c r="K39" s="59"/>
      <c r="L39" s="58"/>
      <c r="M39" s="58"/>
      <c r="N39" s="58"/>
      <c r="O39" s="58"/>
      <c r="P39" s="58"/>
      <c r="Q39" s="61">
        <v>80940040650</v>
      </c>
      <c r="R39" s="61">
        <v>80940040650</v>
      </c>
    </row>
    <row r="40" spans="1:32" s="1" customFormat="1" ht="11.25" x14ac:dyDescent="0.2">
      <c r="A40" s="62">
        <v>14</v>
      </c>
      <c r="B40" s="69" t="s">
        <v>63</v>
      </c>
      <c r="C40" s="54" t="s">
        <v>4</v>
      </c>
      <c r="D40" s="55">
        <v>0</v>
      </c>
      <c r="E40" s="55">
        <v>1.94</v>
      </c>
      <c r="F40" s="56">
        <f t="shared" si="0"/>
        <v>1.94</v>
      </c>
      <c r="G40" s="57">
        <v>4.5</v>
      </c>
      <c r="H40" s="58" t="s">
        <v>44</v>
      </c>
      <c r="I40" s="58"/>
      <c r="J40" s="58"/>
      <c r="K40" s="59"/>
      <c r="L40" s="58"/>
      <c r="M40" s="58"/>
      <c r="N40" s="58"/>
      <c r="O40" s="58"/>
      <c r="P40" s="58"/>
      <c r="Q40" s="59">
        <v>80940040753</v>
      </c>
      <c r="R40" s="59">
        <v>80940040753</v>
      </c>
    </row>
    <row r="41" spans="1:32" s="1" customFormat="1" ht="11.25" x14ac:dyDescent="0.2">
      <c r="A41" s="52">
        <v>15</v>
      </c>
      <c r="B41" s="60" t="s">
        <v>64</v>
      </c>
      <c r="C41" s="61" t="s">
        <v>4</v>
      </c>
      <c r="D41" s="55">
        <v>0</v>
      </c>
      <c r="E41" s="55">
        <v>0.52</v>
      </c>
      <c r="F41" s="56">
        <f t="shared" si="0"/>
        <v>0.52</v>
      </c>
      <c r="G41" s="57">
        <v>3</v>
      </c>
      <c r="H41" s="58" t="s">
        <v>44</v>
      </c>
      <c r="I41" s="58"/>
      <c r="J41" s="58"/>
      <c r="K41" s="59"/>
      <c r="L41" s="58"/>
      <c r="M41" s="58"/>
      <c r="N41" s="58"/>
      <c r="O41" s="58"/>
      <c r="P41" s="58"/>
      <c r="Q41" s="61">
        <v>80940040648</v>
      </c>
      <c r="R41" s="61">
        <v>80940040648</v>
      </c>
    </row>
    <row r="42" spans="1:32" s="1" customFormat="1" ht="11.25" x14ac:dyDescent="0.2">
      <c r="A42" s="62"/>
      <c r="B42" s="63"/>
      <c r="C42" s="61" t="s">
        <v>4</v>
      </c>
      <c r="D42" s="55">
        <v>0.52</v>
      </c>
      <c r="E42" s="55">
        <v>0.58000000000000007</v>
      </c>
      <c r="F42" s="56">
        <f t="shared" si="0"/>
        <v>6.0000000000000053E-2</v>
      </c>
      <c r="G42" s="57">
        <v>6</v>
      </c>
      <c r="H42" s="58" t="s">
        <v>46</v>
      </c>
      <c r="I42" s="58"/>
      <c r="J42" s="58"/>
      <c r="K42" s="59"/>
      <c r="L42" s="58"/>
      <c r="M42" s="58"/>
      <c r="N42" s="58"/>
      <c r="O42" s="58"/>
      <c r="P42" s="58"/>
      <c r="Q42" s="61">
        <v>80940040648</v>
      </c>
      <c r="R42" s="61">
        <v>80940040648</v>
      </c>
    </row>
    <row r="43" spans="1:32" s="1" customFormat="1" ht="11.25" x14ac:dyDescent="0.2">
      <c r="A43" s="62"/>
      <c r="B43" s="63"/>
      <c r="C43" s="61" t="s">
        <v>4</v>
      </c>
      <c r="D43" s="55">
        <v>0.58000000000000007</v>
      </c>
      <c r="E43" s="55">
        <v>1.04</v>
      </c>
      <c r="F43" s="56">
        <f t="shared" si="0"/>
        <v>0.45999999999999996</v>
      </c>
      <c r="G43" s="57">
        <v>3.5</v>
      </c>
      <c r="H43" s="58" t="s">
        <v>44</v>
      </c>
      <c r="I43" s="58"/>
      <c r="J43" s="58"/>
      <c r="K43" s="59"/>
      <c r="L43" s="58"/>
      <c r="M43" s="58"/>
      <c r="N43" s="58"/>
      <c r="O43" s="58"/>
      <c r="P43" s="58"/>
      <c r="Q43" s="61">
        <v>80940040648</v>
      </c>
      <c r="R43" s="61">
        <v>80940040648</v>
      </c>
    </row>
    <row r="44" spans="1:32" s="1" customFormat="1" ht="11.25" x14ac:dyDescent="0.2">
      <c r="A44" s="62"/>
      <c r="B44" s="63"/>
      <c r="C44" s="61" t="s">
        <v>4</v>
      </c>
      <c r="D44" s="55">
        <f>E43</f>
        <v>1.04</v>
      </c>
      <c r="E44" s="55">
        <f>D44+0.5</f>
        <v>1.54</v>
      </c>
      <c r="F44" s="56">
        <f t="shared" si="0"/>
        <v>0.5</v>
      </c>
      <c r="G44" s="57">
        <v>3</v>
      </c>
      <c r="H44" s="58" t="s">
        <v>44</v>
      </c>
      <c r="I44" s="58"/>
      <c r="J44" s="58"/>
      <c r="K44" s="59"/>
      <c r="L44" s="58"/>
      <c r="M44" s="58"/>
      <c r="N44" s="58"/>
      <c r="O44" s="58"/>
      <c r="P44" s="58"/>
      <c r="Q44" s="65" t="s">
        <v>49</v>
      </c>
      <c r="R44" s="59" t="s">
        <v>65</v>
      </c>
    </row>
    <row r="45" spans="1:32" s="1" customFormat="1" ht="11.25" x14ac:dyDescent="0.2">
      <c r="A45" s="59">
        <v>16</v>
      </c>
      <c r="B45" s="58" t="s">
        <v>66</v>
      </c>
      <c r="C45" s="61" t="s">
        <v>3</v>
      </c>
      <c r="D45" s="55">
        <v>0</v>
      </c>
      <c r="E45" s="55">
        <v>1.45</v>
      </c>
      <c r="F45" s="56">
        <f t="shared" si="0"/>
        <v>1.45</v>
      </c>
      <c r="G45" s="57">
        <v>3</v>
      </c>
      <c r="H45" s="58" t="s">
        <v>44</v>
      </c>
      <c r="I45" s="58"/>
      <c r="J45" s="58"/>
      <c r="K45" s="59"/>
      <c r="L45" s="58"/>
      <c r="M45" s="58"/>
      <c r="N45" s="58"/>
      <c r="O45" s="58"/>
      <c r="P45" s="58"/>
      <c r="Q45" s="59">
        <v>80940030219</v>
      </c>
      <c r="R45" s="59">
        <v>80940030219</v>
      </c>
    </row>
    <row r="46" spans="1:32" s="1" customFormat="1" ht="22.5" x14ac:dyDescent="0.2">
      <c r="A46" s="59">
        <v>17</v>
      </c>
      <c r="B46" s="76" t="s">
        <v>67</v>
      </c>
      <c r="C46" s="54" t="s">
        <v>4</v>
      </c>
      <c r="D46" s="55">
        <v>0</v>
      </c>
      <c r="E46" s="55">
        <v>0.87</v>
      </c>
      <c r="F46" s="56">
        <f t="shared" si="0"/>
        <v>0.87</v>
      </c>
      <c r="G46" s="57">
        <v>4.5</v>
      </c>
      <c r="H46" s="58" t="s">
        <v>44</v>
      </c>
      <c r="I46" s="58"/>
      <c r="J46" s="58"/>
      <c r="K46" s="59"/>
      <c r="L46" s="58"/>
      <c r="M46" s="58"/>
      <c r="N46" s="58"/>
      <c r="O46" s="58"/>
      <c r="P46" s="58"/>
      <c r="Q46" s="59">
        <v>80940030223</v>
      </c>
      <c r="R46" s="59">
        <v>80940030223</v>
      </c>
    </row>
    <row r="47" spans="1:32" s="1" customFormat="1" ht="11.25" x14ac:dyDescent="0.2">
      <c r="A47" s="59">
        <v>18</v>
      </c>
      <c r="B47" s="58" t="s">
        <v>68</v>
      </c>
      <c r="C47" s="54" t="s">
        <v>4</v>
      </c>
      <c r="D47" s="55">
        <v>0</v>
      </c>
      <c r="E47" s="55">
        <v>0.28999999999999998</v>
      </c>
      <c r="F47" s="56">
        <f t="shared" si="0"/>
        <v>0.28999999999999998</v>
      </c>
      <c r="G47" s="57">
        <v>4.5</v>
      </c>
      <c r="H47" s="58" t="s">
        <v>59</v>
      </c>
      <c r="I47" s="58"/>
      <c r="J47" s="58"/>
      <c r="K47" s="59"/>
      <c r="L47" s="58"/>
      <c r="M47" s="58"/>
      <c r="N47" s="58"/>
      <c r="O47" s="58"/>
      <c r="P47" s="58"/>
      <c r="Q47" s="59">
        <v>80940030224</v>
      </c>
      <c r="R47" s="59">
        <v>80940030224</v>
      </c>
    </row>
    <row r="48" spans="1:32" s="1" customFormat="1" x14ac:dyDescent="0.25">
      <c r="A48" s="59">
        <v>19</v>
      </c>
      <c r="B48" s="58" t="s">
        <v>69</v>
      </c>
      <c r="C48" s="61" t="s">
        <v>4</v>
      </c>
      <c r="D48" s="55">
        <v>0</v>
      </c>
      <c r="E48" s="55">
        <v>0.3</v>
      </c>
      <c r="F48" s="56">
        <f t="shared" si="0"/>
        <v>0.3</v>
      </c>
      <c r="G48" s="57">
        <v>3.5</v>
      </c>
      <c r="H48" s="58" t="s">
        <v>44</v>
      </c>
      <c r="I48" s="58"/>
      <c r="J48" s="58"/>
      <c r="K48" s="59"/>
      <c r="L48" s="58"/>
      <c r="M48" s="58"/>
      <c r="N48" s="58"/>
      <c r="O48" s="58"/>
      <c r="P48" s="58"/>
      <c r="Q48" s="59">
        <v>80940030321</v>
      </c>
      <c r="R48" s="59">
        <v>80940030321</v>
      </c>
      <c r="S48"/>
      <c r="T48"/>
      <c r="U48"/>
      <c r="V48"/>
      <c r="W48"/>
      <c r="X48"/>
      <c r="Y48"/>
      <c r="Z48"/>
      <c r="AA48" t="s">
        <v>70</v>
      </c>
      <c r="AB48"/>
      <c r="AC48"/>
      <c r="AD48"/>
      <c r="AE48"/>
      <c r="AF48"/>
    </row>
    <row r="49" spans="1:32" s="1" customFormat="1" ht="22.5" x14ac:dyDescent="0.2">
      <c r="C49" s="77"/>
      <c r="K49" s="78" t="s">
        <v>71</v>
      </c>
      <c r="L49" s="79">
        <f>SUM(L45:L48)</f>
        <v>0</v>
      </c>
      <c r="M49" s="79">
        <f>SUM(M45:M48)</f>
        <v>0</v>
      </c>
      <c r="N49" s="80"/>
      <c r="O49" s="78" t="s">
        <v>72</v>
      </c>
      <c r="P49" s="81">
        <f>SUM(P11:P48)</f>
        <v>1803</v>
      </c>
      <c r="S49" s="82"/>
      <c r="T49" s="83" t="s">
        <v>73</v>
      </c>
      <c r="U49" s="83" t="s">
        <v>74</v>
      </c>
      <c r="V49" s="83" t="s">
        <v>75</v>
      </c>
      <c r="W49" s="83" t="s">
        <v>76</v>
      </c>
      <c r="X49" s="83" t="s">
        <v>77</v>
      </c>
      <c r="Y49" s="84" t="s">
        <v>72</v>
      </c>
      <c r="Z49" s="82"/>
      <c r="AA49" s="83" t="s">
        <v>73</v>
      </c>
      <c r="AB49" s="83" t="s">
        <v>74</v>
      </c>
      <c r="AC49" s="83" t="s">
        <v>75</v>
      </c>
      <c r="AD49" s="83" t="s">
        <v>76</v>
      </c>
      <c r="AE49" s="83" t="s">
        <v>77</v>
      </c>
      <c r="AF49" s="84" t="s">
        <v>72</v>
      </c>
    </row>
    <row r="50" spans="1:32" s="1" customFormat="1" ht="11.25" x14ac:dyDescent="0.2">
      <c r="A50" s="85" t="s">
        <v>78</v>
      </c>
      <c r="B50" s="86"/>
      <c r="C50" s="86"/>
      <c r="D50" s="87"/>
      <c r="E50" s="87"/>
      <c r="F50" s="81">
        <f>SUM(F11:F48)</f>
        <v>38.1</v>
      </c>
      <c r="G50" s="88"/>
      <c r="H50" s="89"/>
      <c r="I50" s="27"/>
      <c r="J50" s="90"/>
      <c r="Q50" s="80"/>
      <c r="S50" s="91" t="s">
        <v>38</v>
      </c>
      <c r="T50" s="83" t="s">
        <v>41</v>
      </c>
      <c r="U50" s="83" t="s">
        <v>41</v>
      </c>
      <c r="V50" s="83" t="s">
        <v>41</v>
      </c>
      <c r="W50" s="83" t="s">
        <v>41</v>
      </c>
      <c r="X50" s="83" t="s">
        <v>41</v>
      </c>
      <c r="Y50" s="84" t="s">
        <v>41</v>
      </c>
      <c r="Z50" s="91"/>
      <c r="AA50" s="83" t="s">
        <v>41</v>
      </c>
      <c r="AB50" s="83" t="s">
        <v>41</v>
      </c>
      <c r="AC50" s="83" t="s">
        <v>41</v>
      </c>
      <c r="AD50" s="83" t="s">
        <v>41</v>
      </c>
      <c r="AE50" s="83" t="s">
        <v>41</v>
      </c>
      <c r="AF50" s="84" t="s">
        <v>41</v>
      </c>
    </row>
    <row r="51" spans="1:32" s="1" customFormat="1" ht="11.25" x14ac:dyDescent="0.2">
      <c r="A51" s="92" t="s">
        <v>79</v>
      </c>
      <c r="B51" s="93"/>
      <c r="C51" s="93"/>
      <c r="D51" s="94"/>
      <c r="E51" s="94"/>
      <c r="F51" s="95">
        <f>F34+F37+F47</f>
        <v>1.3</v>
      </c>
      <c r="G51" s="96"/>
      <c r="H51" s="97"/>
      <c r="I51" s="98"/>
      <c r="J51" s="80"/>
      <c r="K51" s="80"/>
      <c r="L51" s="99"/>
      <c r="M51" s="99"/>
      <c r="N51" s="80"/>
      <c r="O51" s="80"/>
      <c r="P51" s="80"/>
      <c r="Q51" s="80"/>
      <c r="S51" s="100" t="s">
        <v>1</v>
      </c>
      <c r="T51" s="101">
        <f>SUMIFS(F11:F48,C11:C48,"A",H11:H48,"melnais")</f>
        <v>0</v>
      </c>
      <c r="U51" s="101">
        <f>SUMIFS(F11:F48,C11:C48,"A",H11:H48,"dubultā virsma")</f>
        <v>0</v>
      </c>
      <c r="V51" s="101">
        <f>SUMIFS(F11:F48,C11:C48,"A",H11:H48,"bruģis")</f>
        <v>0</v>
      </c>
      <c r="W51" s="101">
        <f>SUMIFS(F11:F48,C11:C48,"A",H11:H48,"grants")</f>
        <v>0</v>
      </c>
      <c r="X51" s="101">
        <f>SUMIFS(F11:F48,C11:C48,"A",H11:H48,"cits segums")</f>
        <v>0</v>
      </c>
      <c r="Y51" s="101">
        <f>SUM(T51:X51)</f>
        <v>0</v>
      </c>
      <c r="Z51" s="100" t="s">
        <v>1</v>
      </c>
      <c r="AA51" s="102">
        <f>SUMIFS(F11:F48,C11:C48,"A",H11:H48,"melnais", Q11:Q48,"Nepiederošs")</f>
        <v>0</v>
      </c>
      <c r="AB51" s="102">
        <f>SUMIFS(F11:F48,C11:C48,"A",H11:H48,"dubultā virsma", Q11:Q48,"Nepiederošs")</f>
        <v>0</v>
      </c>
      <c r="AC51" s="102">
        <f>SUMIFS(F11:F48,C11:C48,"A",H11:H48,"bruģis", Q11:Q48,"Nepiederošs")</f>
        <v>0</v>
      </c>
      <c r="AD51" s="102">
        <f>SUMIFS(F11:F48,C11:C48,"A",H11:H48,"grants", Q11:Q48,"Nepiederošs")</f>
        <v>0</v>
      </c>
      <c r="AE51" s="102">
        <f>SUMIFS(F11:F48,C11:C48,"A",H11:H48,"cits segums", Q11:Q48,"Nepiederošs")</f>
        <v>0</v>
      </c>
      <c r="AF51" s="102">
        <f>SUM(AA51:AE51)</f>
        <v>0</v>
      </c>
    </row>
    <row r="52" spans="1:32" s="1" customFormat="1" ht="11.25" x14ac:dyDescent="0.2">
      <c r="A52" s="92" t="s">
        <v>80</v>
      </c>
      <c r="B52" s="93"/>
      <c r="C52" s="93"/>
      <c r="D52" s="94"/>
      <c r="E52" s="94"/>
      <c r="F52" s="95">
        <v>0</v>
      </c>
      <c r="G52" s="96"/>
      <c r="H52" s="27"/>
      <c r="I52" s="27"/>
      <c r="J52" s="80"/>
      <c r="K52" s="103"/>
      <c r="L52" s="103"/>
      <c r="M52" s="103"/>
      <c r="N52" s="80"/>
      <c r="O52" s="80"/>
      <c r="P52" s="80"/>
      <c r="Q52" s="80"/>
      <c r="S52" s="104" t="s">
        <v>2</v>
      </c>
      <c r="T52" s="101">
        <f>SUMIFS(F11:F48,C11:C48,"B",H11:H48,"melnais")</f>
        <v>0</v>
      </c>
      <c r="U52" s="101">
        <f>SUMIFS(F11:F48,C11:C48,"B",H11:H48,"dubultā virsma")</f>
        <v>0</v>
      </c>
      <c r="V52" s="101">
        <f>SUMIFS(F11:F48,C11:C48,"B",H11:H48,"bruģis")</f>
        <v>0</v>
      </c>
      <c r="W52" s="101">
        <f>SUMIFS(F11:F48,C11:C48,"B",H11:H48,"grants")</f>
        <v>0</v>
      </c>
      <c r="X52" s="101">
        <f>SUMIFS(F11:F48,C11:C48,"B",H11:H48,"cits segums")</f>
        <v>0</v>
      </c>
      <c r="Y52" s="101">
        <f t="shared" ref="Y52:Y54" si="1">SUM(T52:X52)</f>
        <v>0</v>
      </c>
      <c r="Z52" s="104" t="s">
        <v>2</v>
      </c>
      <c r="AA52" s="102">
        <f>SUMIFS(F11:F48,C11:C48,"B",H11:H48,"melnais", Q11:Q48,"Nepiederošs")</f>
        <v>0</v>
      </c>
      <c r="AB52" s="102">
        <f>SUMIFS(F11:F48,C11:C48,"B",H11:H48,"dubultā virsma", Q11:Q48,"Nepiederošs")</f>
        <v>0</v>
      </c>
      <c r="AC52" s="102">
        <f>SUMIFS(F11:F48,C11:C48,"B",H11:H48,"bruģis", Q11:Q48,"Nepiederošs")</f>
        <v>0</v>
      </c>
      <c r="AD52" s="102">
        <f>SUMIFS(F11:F48,C11:C48,"B",H11:H48,"grants", Q11:Q48,"Nepiederošs")</f>
        <v>0</v>
      </c>
      <c r="AE52" s="102">
        <f>SUMIFS(F11:F48,C11:C48,"B",H11:H48,"cits segums", Q11:Q48,"Nepiederošs")</f>
        <v>0</v>
      </c>
      <c r="AF52" s="102">
        <f t="shared" ref="AF52:AF54" si="2">SUM(AA52:AE52)</f>
        <v>0</v>
      </c>
    </row>
    <row r="53" spans="1:32" s="1" customFormat="1" ht="11.25" x14ac:dyDescent="0.2">
      <c r="A53" s="92" t="s">
        <v>81</v>
      </c>
      <c r="B53" s="93"/>
      <c r="C53" s="93"/>
      <c r="D53" s="94"/>
      <c r="E53" s="94"/>
      <c r="F53" s="95">
        <f>F50-F51-F54</f>
        <v>35.800000000000004</v>
      </c>
      <c r="G53" s="96"/>
      <c r="H53" s="27"/>
      <c r="I53" s="27"/>
      <c r="J53" s="80"/>
      <c r="K53" s="103"/>
      <c r="L53" s="103"/>
      <c r="M53" s="103"/>
      <c r="N53" s="80"/>
      <c r="O53" s="80"/>
      <c r="P53" s="80"/>
      <c r="Q53" s="80"/>
      <c r="S53" s="105" t="s">
        <v>3</v>
      </c>
      <c r="T53" s="101">
        <f>SUMIFS(F11:F48,C11:C48,"C",H11:H48,"melnais")</f>
        <v>0.72</v>
      </c>
      <c r="U53" s="101">
        <f>SUMIFS(F11:F48,C11:C48,"C",H11:H48,"dubultā virsma")</f>
        <v>0</v>
      </c>
      <c r="V53" s="101">
        <f>SUMIFS(F11:F48,C11:C48,"C",H11:H48,"bruģis")</f>
        <v>0</v>
      </c>
      <c r="W53" s="101">
        <f>SUMIFS(F11:F48,C11:C48,"C",H11:H48,"grants")</f>
        <v>17.190000000000001</v>
      </c>
      <c r="X53" s="101">
        <f>SUMIFS(F11:F48,C11:C48,"C",H11:H48,"cits segums")</f>
        <v>2.9999999999999805E-2</v>
      </c>
      <c r="Y53" s="101">
        <f t="shared" si="1"/>
        <v>17.940000000000001</v>
      </c>
      <c r="Z53" s="105" t="s">
        <v>3</v>
      </c>
      <c r="AA53" s="102">
        <f>SUMIFS(F11:F48,C11:C48,"C",H11:H48,"melnais", Q11:Q48,"Nepiederošs")</f>
        <v>0</v>
      </c>
      <c r="AB53" s="102">
        <f>SUMIFS(F11:F48,C11:C48,"C",H11:H48,"dubultā virsma", Q11:Q48,"Nepiederošs")</f>
        <v>0</v>
      </c>
      <c r="AC53" s="102">
        <f>SUMIFS(F11:F48,C11:C48,"C",H11:H48,"bruģis", Q11:Q48,"Nepiederošs")</f>
        <v>0</v>
      </c>
      <c r="AD53" s="102">
        <f>SUMIFS(F11:F48,C11:C48,"C",H11:H48,"grants", Q11:Q48,"Nepiederošs")</f>
        <v>4.879999999999999</v>
      </c>
      <c r="AE53" s="102">
        <f>SUMIFS(F11:F48,C11:C48,"C",H11:H48,"cits segums", Q11:Q48,"Nepiederošs")</f>
        <v>0</v>
      </c>
      <c r="AF53" s="102">
        <f t="shared" si="2"/>
        <v>4.879999999999999</v>
      </c>
    </row>
    <row r="54" spans="1:32" s="1" customFormat="1" ht="11.25" x14ac:dyDescent="0.2">
      <c r="A54" s="92" t="s">
        <v>82</v>
      </c>
      <c r="B54" s="93"/>
      <c r="C54" s="93"/>
      <c r="D54" s="94"/>
      <c r="E54" s="94"/>
      <c r="F54" s="95">
        <f>F42+F39+F23+F13</f>
        <v>0.99999999999999989</v>
      </c>
      <c r="G54" s="96"/>
      <c r="H54" s="98"/>
      <c r="I54" s="27"/>
      <c r="J54" s="106"/>
      <c r="K54" s="103"/>
      <c r="L54" s="103"/>
      <c r="M54" s="103"/>
      <c r="N54" s="80"/>
      <c r="O54" s="80"/>
      <c r="P54" s="80"/>
      <c r="Q54" s="80"/>
      <c r="S54" s="100" t="s">
        <v>4</v>
      </c>
      <c r="T54" s="101">
        <f>SUMIFS(F11:F48,C11:C48,"D",H11:H48,"melnais")</f>
        <v>0.57999999999999996</v>
      </c>
      <c r="U54" s="101">
        <f>SUMIFS(F11:F48,C11:C48,"D",H11:H48,"dubultā virsma")</f>
        <v>0</v>
      </c>
      <c r="V54" s="101">
        <f>SUMIFS(F11:F48,C11:C48,"D",H11:H48,"bruģis")</f>
        <v>0</v>
      </c>
      <c r="W54" s="101">
        <f>SUMIFS(F11:F48,C11:C48,"D",H11:H48,"grants")</f>
        <v>18.61</v>
      </c>
      <c r="X54" s="101">
        <f>SUMIFS(F11:F48,C11:C48,"D",H11:H48,"cits segums")</f>
        <v>0.97000000000000008</v>
      </c>
      <c r="Y54" s="101">
        <f t="shared" si="1"/>
        <v>20.159999999999997</v>
      </c>
      <c r="Z54" s="100" t="s">
        <v>4</v>
      </c>
      <c r="AA54" s="102">
        <f>SUMIFS(F11:F48,C11:C48,"D",H11:H48,"melnais", Q11:Q48,"Nepiederošs")</f>
        <v>0</v>
      </c>
      <c r="AB54" s="102">
        <f>SUMIFS(F11:F48,C11:C48,"D",H11:H48,"dubultā virsma", Q11:Q48,"Nepiederošs")</f>
        <v>0</v>
      </c>
      <c r="AC54" s="102">
        <f>SUMIFS(F11:F48,C11:C48,"D",H11:H48,"bruģis", Q11:Q48,"Nepiederošs")</f>
        <v>0</v>
      </c>
      <c r="AD54" s="102">
        <f>SUMIFS(F11:F48,C11:C48,"D",H11:H48,"grants", Q11:Q48,"Nepiederošs")</f>
        <v>0.67999999999999994</v>
      </c>
      <c r="AE54" s="102">
        <f>SUMIFS(F11:F48,C11:C48,"D",H11:H48,"cits segums", Q11:Q48,"Nepiederošs")</f>
        <v>0</v>
      </c>
      <c r="AF54" s="102">
        <f t="shared" si="2"/>
        <v>0.67999999999999994</v>
      </c>
    </row>
    <row r="55" spans="1:32" x14ac:dyDescent="0.25">
      <c r="C55" s="107"/>
      <c r="T55" s="108">
        <f>SUM(T51:T54)</f>
        <v>1.2999999999999998</v>
      </c>
      <c r="U55" s="108">
        <f t="shared" ref="U55:Y55" si="3">SUM(U51:U54)</f>
        <v>0</v>
      </c>
      <c r="V55" s="108">
        <f t="shared" si="3"/>
        <v>0</v>
      </c>
      <c r="W55" s="108">
        <f t="shared" si="3"/>
        <v>35.799999999999997</v>
      </c>
      <c r="X55" s="108">
        <f t="shared" si="3"/>
        <v>0.99999999999999989</v>
      </c>
      <c r="Y55" s="108">
        <f t="shared" si="3"/>
        <v>38.099999999999994</v>
      </c>
      <c r="AA55" s="109">
        <f>SUM(AA51:AA54)</f>
        <v>0</v>
      </c>
      <c r="AB55" s="109">
        <f t="shared" ref="AB55:AF55" si="4">SUM(AB51:AB54)</f>
        <v>0</v>
      </c>
      <c r="AC55" s="109">
        <f>SUM(AC51:AC54)</f>
        <v>0</v>
      </c>
      <c r="AD55" s="109">
        <f t="shared" si="4"/>
        <v>5.5599999999999987</v>
      </c>
      <c r="AE55" s="109">
        <f t="shared" si="4"/>
        <v>0</v>
      </c>
      <c r="AF55" s="109">
        <f t="shared" si="4"/>
        <v>5.5599999999999987</v>
      </c>
    </row>
    <row r="56" spans="1:32" s="6" customFormat="1" ht="15" customHeight="1" x14ac:dyDescent="0.25">
      <c r="A56" s="16"/>
      <c r="B56" s="16"/>
      <c r="C56" s="16"/>
      <c r="D56" s="17" t="s">
        <v>83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8"/>
      <c r="R56" s="19"/>
      <c r="AC56" s="110"/>
    </row>
    <row r="57" spans="1:32" s="6" customFormat="1" ht="11.25" x14ac:dyDescent="0.25">
      <c r="A57" s="16"/>
      <c r="B57" s="16"/>
      <c r="C57" s="16"/>
      <c r="D57" s="25"/>
      <c r="E57" s="25"/>
      <c r="F57" s="25"/>
      <c r="G57" s="25"/>
      <c r="H57" s="18"/>
      <c r="I57" s="16"/>
      <c r="J57" s="16"/>
      <c r="K57" s="16"/>
      <c r="L57" s="16"/>
      <c r="M57" s="16"/>
      <c r="N57" s="26"/>
      <c r="O57" s="26"/>
      <c r="P57" s="16"/>
      <c r="Q57" s="16"/>
      <c r="R57" s="19"/>
    </row>
    <row r="58" spans="1:32" s="27" customFormat="1" ht="5.25" customHeight="1" x14ac:dyDescent="0.2">
      <c r="C58" s="26"/>
    </row>
    <row r="59" spans="1:32" s="27" customFormat="1" ht="12.75" customHeight="1" x14ac:dyDescent="0.2">
      <c r="A59" s="28" t="s">
        <v>19</v>
      </c>
      <c r="B59" s="29" t="s">
        <v>20</v>
      </c>
      <c r="C59" s="30"/>
      <c r="D59" s="31" t="s">
        <v>21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3"/>
      <c r="Q59" s="34" t="s">
        <v>22</v>
      </c>
      <c r="R59" s="35"/>
    </row>
    <row r="60" spans="1:32" s="27" customFormat="1" ht="12.75" customHeight="1" x14ac:dyDescent="0.2">
      <c r="A60" s="28"/>
      <c r="B60" s="36"/>
      <c r="C60" s="37"/>
      <c r="D60" s="38" t="s">
        <v>23</v>
      </c>
      <c r="E60" s="38"/>
      <c r="F60" s="38"/>
      <c r="G60" s="38"/>
      <c r="H60" s="38"/>
      <c r="I60" s="39" t="s">
        <v>24</v>
      </c>
      <c r="J60" s="39"/>
      <c r="K60" s="39"/>
      <c r="L60" s="39"/>
      <c r="M60" s="39"/>
      <c r="N60" s="39"/>
      <c r="O60" s="39"/>
      <c r="P60" s="40" t="s">
        <v>25</v>
      </c>
      <c r="Q60" s="41"/>
      <c r="R60" s="42"/>
    </row>
    <row r="61" spans="1:32" s="27" customFormat="1" ht="15.2" customHeight="1" x14ac:dyDescent="0.2">
      <c r="A61" s="28"/>
      <c r="B61" s="36"/>
      <c r="C61" s="37"/>
      <c r="D61" s="38" t="s">
        <v>26</v>
      </c>
      <c r="E61" s="38"/>
      <c r="F61" s="28" t="s">
        <v>27</v>
      </c>
      <c r="G61" s="28" t="s">
        <v>28</v>
      </c>
      <c r="H61" s="28" t="s">
        <v>29</v>
      </c>
      <c r="I61" s="39" t="s">
        <v>30</v>
      </c>
      <c r="J61" s="39" t="s">
        <v>31</v>
      </c>
      <c r="K61" s="39"/>
      <c r="L61" s="43" t="s">
        <v>32</v>
      </c>
      <c r="M61" s="43" t="s">
        <v>33</v>
      </c>
      <c r="N61" s="43" t="s">
        <v>34</v>
      </c>
      <c r="O61" s="43" t="s">
        <v>35</v>
      </c>
      <c r="P61" s="44"/>
      <c r="Q61" s="44" t="s">
        <v>36</v>
      </c>
      <c r="R61" s="36" t="s">
        <v>37</v>
      </c>
    </row>
    <row r="62" spans="1:32" s="27" customFormat="1" ht="59.25" customHeight="1" x14ac:dyDescent="0.2">
      <c r="A62" s="28"/>
      <c r="B62" s="45"/>
      <c r="C62" s="46" t="s">
        <v>38</v>
      </c>
      <c r="D62" s="47" t="s">
        <v>39</v>
      </c>
      <c r="E62" s="47" t="s">
        <v>40</v>
      </c>
      <c r="F62" s="28"/>
      <c r="G62" s="28"/>
      <c r="H62" s="28"/>
      <c r="I62" s="39"/>
      <c r="J62" s="48" t="s">
        <v>41</v>
      </c>
      <c r="K62" s="48" t="s">
        <v>42</v>
      </c>
      <c r="L62" s="43"/>
      <c r="M62" s="43"/>
      <c r="N62" s="43"/>
      <c r="O62" s="43"/>
      <c r="P62" s="49"/>
      <c r="Q62" s="49"/>
      <c r="R62" s="45"/>
    </row>
    <row r="63" spans="1:32" s="111" customFormat="1" ht="12" customHeight="1" x14ac:dyDescent="0.25">
      <c r="A63" s="50">
        <v>1</v>
      </c>
      <c r="B63" s="50">
        <v>2</v>
      </c>
      <c r="C63" s="50"/>
      <c r="D63" s="50">
        <v>3</v>
      </c>
      <c r="E63" s="50">
        <v>4</v>
      </c>
      <c r="F63" s="50">
        <v>5</v>
      </c>
      <c r="G63" s="50">
        <v>5.0999999999999996</v>
      </c>
      <c r="H63" s="50">
        <v>6</v>
      </c>
      <c r="I63" s="51">
        <v>7</v>
      </c>
      <c r="J63" s="51">
        <v>8</v>
      </c>
      <c r="K63" s="51">
        <v>9</v>
      </c>
      <c r="L63" s="51">
        <v>10</v>
      </c>
      <c r="M63" s="51">
        <v>11</v>
      </c>
      <c r="N63" s="51">
        <v>12</v>
      </c>
      <c r="O63" s="51">
        <v>13</v>
      </c>
      <c r="P63" s="51">
        <v>14</v>
      </c>
      <c r="Q63" s="51">
        <v>15</v>
      </c>
      <c r="R63" s="50">
        <v>16</v>
      </c>
    </row>
    <row r="64" spans="1:32" s="1" customFormat="1" ht="11.25" x14ac:dyDescent="0.2">
      <c r="A64" s="54">
        <v>1</v>
      </c>
      <c r="B64" s="112" t="s">
        <v>84</v>
      </c>
      <c r="C64" s="113" t="s">
        <v>4</v>
      </c>
      <c r="D64" s="55">
        <v>0</v>
      </c>
      <c r="E64" s="55">
        <v>0.98</v>
      </c>
      <c r="F64" s="55">
        <v>0.98</v>
      </c>
      <c r="G64" s="55">
        <v>3.5</v>
      </c>
      <c r="H64" s="58" t="s">
        <v>44</v>
      </c>
      <c r="I64" s="58"/>
      <c r="J64" s="59"/>
      <c r="K64" s="58"/>
      <c r="L64" s="58"/>
      <c r="M64" s="58"/>
      <c r="N64" s="58"/>
      <c r="O64" s="58"/>
      <c r="P64" s="58"/>
      <c r="Q64" s="61">
        <v>42660010116</v>
      </c>
      <c r="R64" s="61">
        <v>42660010116</v>
      </c>
    </row>
    <row r="65" spans="1:18" s="1" customFormat="1" ht="11.25" x14ac:dyDescent="0.2">
      <c r="A65" s="54">
        <v>2</v>
      </c>
      <c r="B65" s="70" t="s">
        <v>85</v>
      </c>
      <c r="C65" s="113" t="s">
        <v>4</v>
      </c>
      <c r="D65" s="55">
        <v>0</v>
      </c>
      <c r="E65" s="55">
        <v>0.21</v>
      </c>
      <c r="F65" s="55">
        <v>0.21</v>
      </c>
      <c r="G65" s="55">
        <v>3.5</v>
      </c>
      <c r="H65" s="58" t="s">
        <v>44</v>
      </c>
      <c r="I65" s="58"/>
      <c r="J65" s="59"/>
      <c r="K65" s="58"/>
      <c r="L65" s="58"/>
      <c r="M65" s="58"/>
      <c r="N65" s="58"/>
      <c r="O65" s="58"/>
      <c r="P65" s="58"/>
      <c r="Q65" s="114" t="s">
        <v>49</v>
      </c>
      <c r="R65" s="61">
        <v>42660010002</v>
      </c>
    </row>
    <row r="66" spans="1:18" s="1" customFormat="1" ht="11.25" x14ac:dyDescent="0.2">
      <c r="A66" s="54"/>
      <c r="B66" s="70"/>
      <c r="C66" s="113" t="s">
        <v>4</v>
      </c>
      <c r="D66" s="55">
        <v>0.21</v>
      </c>
      <c r="E66" s="55">
        <v>1.32</v>
      </c>
      <c r="F66" s="55">
        <v>1.32</v>
      </c>
      <c r="G66" s="55">
        <v>3.5</v>
      </c>
      <c r="H66" s="58" t="s">
        <v>44</v>
      </c>
      <c r="I66" s="58"/>
      <c r="J66" s="59"/>
      <c r="K66" s="58"/>
      <c r="L66" s="58"/>
      <c r="M66" s="58"/>
      <c r="N66" s="58"/>
      <c r="O66" s="58"/>
      <c r="P66" s="58"/>
      <c r="Q66" s="61">
        <v>42660010118</v>
      </c>
      <c r="R66" s="61">
        <v>42660010118</v>
      </c>
    </row>
    <row r="67" spans="1:18" s="1" customFormat="1" ht="11.25" x14ac:dyDescent="0.2">
      <c r="A67" s="54">
        <v>3</v>
      </c>
      <c r="B67" s="70" t="s">
        <v>86</v>
      </c>
      <c r="C67" s="113" t="s">
        <v>4</v>
      </c>
      <c r="D67" s="55">
        <v>0</v>
      </c>
      <c r="E67" s="55">
        <v>2.42</v>
      </c>
      <c r="F67" s="55">
        <v>2.42</v>
      </c>
      <c r="G67" s="55">
        <v>3.5</v>
      </c>
      <c r="H67" s="58" t="s">
        <v>44</v>
      </c>
      <c r="I67" s="58"/>
      <c r="J67" s="58"/>
      <c r="K67" s="58"/>
      <c r="L67" s="58"/>
      <c r="M67" s="59"/>
      <c r="N67" s="58"/>
      <c r="O67" s="58"/>
      <c r="P67" s="58"/>
      <c r="Q67" s="61">
        <v>42660020093</v>
      </c>
      <c r="R67" s="61">
        <v>42660020093</v>
      </c>
    </row>
    <row r="68" spans="1:18" s="1" customFormat="1" ht="11.25" x14ac:dyDescent="0.2">
      <c r="A68" s="115"/>
      <c r="B68" s="116" t="s">
        <v>87</v>
      </c>
      <c r="C68" s="113" t="s">
        <v>4</v>
      </c>
      <c r="D68" s="55">
        <v>0</v>
      </c>
      <c r="E68" s="55">
        <v>0.22</v>
      </c>
      <c r="F68" s="59">
        <v>0.22</v>
      </c>
      <c r="G68" s="55">
        <v>3</v>
      </c>
      <c r="H68" s="58" t="s">
        <v>44</v>
      </c>
      <c r="I68" s="58"/>
      <c r="J68" s="58"/>
      <c r="K68" s="58"/>
      <c r="L68" s="58"/>
      <c r="M68" s="59"/>
      <c r="N68" s="58"/>
      <c r="O68" s="58"/>
      <c r="P68" s="58"/>
      <c r="Q68" s="61">
        <v>42660020093</v>
      </c>
      <c r="R68" s="61">
        <v>42660020093</v>
      </c>
    </row>
    <row r="69" spans="1:18" s="1" customFormat="1" ht="22.5" x14ac:dyDescent="0.2">
      <c r="A69" s="54">
        <v>4</v>
      </c>
      <c r="B69" s="70" t="s">
        <v>88</v>
      </c>
      <c r="C69" s="113" t="s">
        <v>4</v>
      </c>
      <c r="D69" s="57">
        <v>0</v>
      </c>
      <c r="E69" s="57">
        <v>0.85</v>
      </c>
      <c r="F69" s="57">
        <v>0.85</v>
      </c>
      <c r="G69" s="57">
        <v>3.5</v>
      </c>
      <c r="H69" s="58" t="s">
        <v>44</v>
      </c>
      <c r="I69" s="58"/>
      <c r="J69" s="58"/>
      <c r="K69" s="58"/>
      <c r="L69" s="58"/>
      <c r="M69" s="59"/>
      <c r="N69" s="58"/>
      <c r="O69" s="58"/>
      <c r="P69" s="58"/>
      <c r="Q69" s="61">
        <v>42660020101</v>
      </c>
      <c r="R69" s="61">
        <v>42660020101</v>
      </c>
    </row>
    <row r="70" spans="1:18" s="1" customFormat="1" ht="11.25" x14ac:dyDescent="0.2">
      <c r="A70" s="115"/>
      <c r="B70" s="117" t="s">
        <v>89</v>
      </c>
      <c r="C70" s="113" t="s">
        <v>4</v>
      </c>
      <c r="D70" s="57">
        <v>0.85</v>
      </c>
      <c r="E70" s="57">
        <v>1.1000000000000001</v>
      </c>
      <c r="F70" s="57">
        <v>0.25</v>
      </c>
      <c r="G70" s="57">
        <v>3</v>
      </c>
      <c r="H70" s="58" t="s">
        <v>46</v>
      </c>
      <c r="I70" s="58"/>
      <c r="J70" s="58"/>
      <c r="K70" s="58"/>
      <c r="L70" s="58"/>
      <c r="M70" s="59"/>
      <c r="N70" s="58"/>
      <c r="O70" s="58"/>
      <c r="P70" s="58"/>
      <c r="Q70" s="61">
        <v>42660020101</v>
      </c>
      <c r="R70" s="61">
        <v>42660020101</v>
      </c>
    </row>
    <row r="71" spans="1:18" s="1" customFormat="1" ht="11.25" x14ac:dyDescent="0.2">
      <c r="A71" s="54">
        <v>5</v>
      </c>
      <c r="B71" s="70" t="s">
        <v>90</v>
      </c>
      <c r="C71" s="113" t="s">
        <v>4</v>
      </c>
      <c r="D71" s="55">
        <v>0</v>
      </c>
      <c r="E71" s="55">
        <v>0.35</v>
      </c>
      <c r="F71" s="55">
        <v>0.35</v>
      </c>
      <c r="G71" s="55">
        <v>5</v>
      </c>
      <c r="H71" s="58" t="s">
        <v>44</v>
      </c>
      <c r="I71" s="58"/>
      <c r="J71" s="58"/>
      <c r="K71" s="58"/>
      <c r="L71" s="58"/>
      <c r="M71" s="59"/>
      <c r="N71" s="58"/>
      <c r="O71" s="58"/>
      <c r="P71" s="58"/>
      <c r="Q71" s="61">
        <v>42660020094</v>
      </c>
      <c r="R71" s="61">
        <v>42660020120</v>
      </c>
    </row>
    <row r="72" spans="1:18" s="1" customFormat="1" ht="22.5" x14ac:dyDescent="0.2">
      <c r="A72" s="115"/>
      <c r="B72" s="117"/>
      <c r="C72" s="113" t="s">
        <v>4</v>
      </c>
      <c r="D72" s="55">
        <v>0.35</v>
      </c>
      <c r="E72" s="55">
        <f>D72+0.19</f>
        <v>0.54</v>
      </c>
      <c r="F72" s="55">
        <v>0.19</v>
      </c>
      <c r="G72" s="55">
        <v>5</v>
      </c>
      <c r="H72" s="58" t="s">
        <v>44</v>
      </c>
      <c r="I72" s="58"/>
      <c r="J72" s="58"/>
      <c r="K72" s="58"/>
      <c r="L72" s="58"/>
      <c r="M72" s="59"/>
      <c r="N72" s="58"/>
      <c r="O72" s="58"/>
      <c r="P72" s="58"/>
      <c r="Q72" s="114" t="s">
        <v>49</v>
      </c>
      <c r="R72" s="113" t="s">
        <v>91</v>
      </c>
    </row>
    <row r="73" spans="1:18" s="1" customFormat="1" ht="11.25" x14ac:dyDescent="0.2">
      <c r="A73" s="115"/>
      <c r="B73" s="117" t="s">
        <v>89</v>
      </c>
      <c r="C73" s="113" t="s">
        <v>4</v>
      </c>
      <c r="D73" s="55">
        <v>0.54</v>
      </c>
      <c r="E73" s="55">
        <v>1.05</v>
      </c>
      <c r="F73" s="55">
        <v>0.51</v>
      </c>
      <c r="G73" s="55">
        <v>3.5</v>
      </c>
      <c r="H73" s="58" t="s">
        <v>44</v>
      </c>
      <c r="I73" s="58"/>
      <c r="J73" s="58"/>
      <c r="K73" s="58"/>
      <c r="L73" s="58"/>
      <c r="M73" s="59"/>
      <c r="N73" s="58"/>
      <c r="O73" s="58"/>
      <c r="P73" s="58"/>
      <c r="Q73" s="61">
        <v>42660020094</v>
      </c>
      <c r="R73" s="61">
        <v>42660020094</v>
      </c>
    </row>
    <row r="74" spans="1:18" s="1" customFormat="1" ht="11.25" x14ac:dyDescent="0.2">
      <c r="A74" s="54">
        <v>6</v>
      </c>
      <c r="B74" s="70" t="s">
        <v>92</v>
      </c>
      <c r="C74" s="113" t="s">
        <v>4</v>
      </c>
      <c r="D74" s="55">
        <v>0</v>
      </c>
      <c r="E74" s="55">
        <v>7.0000000000000007E-2</v>
      </c>
      <c r="F74" s="55">
        <v>7.0000000000000007E-2</v>
      </c>
      <c r="G74" s="55">
        <v>3.5</v>
      </c>
      <c r="H74" s="58" t="s">
        <v>93</v>
      </c>
      <c r="I74" s="58"/>
      <c r="J74" s="58"/>
      <c r="K74" s="58"/>
      <c r="L74" s="58"/>
      <c r="M74" s="59"/>
      <c r="N74" s="58"/>
      <c r="O74" s="58"/>
      <c r="P74" s="58"/>
      <c r="Q74" s="61">
        <v>42660040175</v>
      </c>
      <c r="R74" s="61">
        <v>42660040175</v>
      </c>
    </row>
    <row r="75" spans="1:18" s="1" customFormat="1" ht="11.25" x14ac:dyDescent="0.2">
      <c r="A75" s="115"/>
      <c r="B75" s="117" t="s">
        <v>89</v>
      </c>
      <c r="C75" s="113" t="s">
        <v>4</v>
      </c>
      <c r="D75" s="55">
        <v>7.0000000000000007E-2</v>
      </c>
      <c r="E75" s="55">
        <v>0.99</v>
      </c>
      <c r="F75" s="55">
        <v>0.92</v>
      </c>
      <c r="G75" s="55">
        <v>3.5</v>
      </c>
      <c r="H75" s="58" t="s">
        <v>44</v>
      </c>
      <c r="I75" s="58"/>
      <c r="J75" s="58"/>
      <c r="K75" s="58"/>
      <c r="L75" s="58"/>
      <c r="M75" s="59"/>
      <c r="N75" s="58"/>
      <c r="O75" s="58"/>
      <c r="P75" s="58"/>
      <c r="Q75" s="61">
        <v>42660040175</v>
      </c>
      <c r="R75" s="61">
        <v>42660040175</v>
      </c>
    </row>
    <row r="76" spans="1:18" s="1" customFormat="1" ht="11.25" x14ac:dyDescent="0.2">
      <c r="A76" s="54">
        <v>7</v>
      </c>
      <c r="B76" s="70" t="s">
        <v>94</v>
      </c>
      <c r="C76" s="113" t="s">
        <v>4</v>
      </c>
      <c r="D76" s="55">
        <v>0</v>
      </c>
      <c r="E76" s="55">
        <v>2.31</v>
      </c>
      <c r="F76" s="55">
        <v>2.31</v>
      </c>
      <c r="G76" s="55">
        <v>4</v>
      </c>
      <c r="H76" s="58" t="s">
        <v>44</v>
      </c>
      <c r="I76" s="58"/>
      <c r="J76" s="58"/>
      <c r="K76" s="58"/>
      <c r="L76" s="58"/>
      <c r="M76" s="59"/>
      <c r="N76" s="58"/>
      <c r="O76" s="58"/>
      <c r="P76" s="58"/>
      <c r="Q76" s="61">
        <v>42660040164</v>
      </c>
      <c r="R76" s="61">
        <v>42660040164</v>
      </c>
    </row>
    <row r="77" spans="1:18" s="1" customFormat="1" ht="11.25" x14ac:dyDescent="0.2">
      <c r="A77" s="118"/>
      <c r="B77" s="119" t="s">
        <v>89</v>
      </c>
      <c r="C77" s="113" t="s">
        <v>4</v>
      </c>
      <c r="D77" s="55">
        <v>2.31</v>
      </c>
      <c r="E77" s="55">
        <v>4.33</v>
      </c>
      <c r="F77" s="55">
        <v>2.02</v>
      </c>
      <c r="G77" s="55">
        <v>4</v>
      </c>
      <c r="H77" s="58" t="s">
        <v>44</v>
      </c>
      <c r="I77" s="58"/>
      <c r="J77" s="58"/>
      <c r="K77" s="58"/>
      <c r="L77" s="58"/>
      <c r="M77" s="59"/>
      <c r="N77" s="58"/>
      <c r="O77" s="58"/>
      <c r="P77" s="58"/>
      <c r="Q77" s="61">
        <v>42660060097</v>
      </c>
      <c r="R77" s="61">
        <v>42660060097</v>
      </c>
    </row>
    <row r="78" spans="1:18" s="1" customFormat="1" ht="11.25" x14ac:dyDescent="0.2">
      <c r="A78" s="115">
        <v>8</v>
      </c>
      <c r="B78" s="120" t="s">
        <v>95</v>
      </c>
      <c r="C78" s="113" t="s">
        <v>4</v>
      </c>
      <c r="D78" s="55">
        <v>0</v>
      </c>
      <c r="E78" s="55">
        <v>2.36</v>
      </c>
      <c r="F78" s="55">
        <v>2.36</v>
      </c>
      <c r="G78" s="55">
        <v>4</v>
      </c>
      <c r="H78" s="58" t="s">
        <v>44</v>
      </c>
      <c r="I78" s="58"/>
      <c r="J78" s="58"/>
      <c r="K78" s="58"/>
      <c r="L78" s="58"/>
      <c r="M78" s="59"/>
      <c r="N78" s="58"/>
      <c r="O78" s="58"/>
      <c r="P78" s="58"/>
      <c r="Q78" s="61">
        <v>42660060098</v>
      </c>
      <c r="R78" s="61">
        <v>42660060098</v>
      </c>
    </row>
    <row r="79" spans="1:18" s="1" customFormat="1" ht="22.5" x14ac:dyDescent="0.2">
      <c r="A79" s="54">
        <v>9</v>
      </c>
      <c r="B79" s="112" t="s">
        <v>96</v>
      </c>
      <c r="C79" s="113" t="s">
        <v>4</v>
      </c>
      <c r="D79" s="55">
        <v>0</v>
      </c>
      <c r="E79" s="55">
        <v>2.5099999999999998</v>
      </c>
      <c r="F79" s="55">
        <v>2.5099999999999998</v>
      </c>
      <c r="G79" s="55">
        <v>4.5</v>
      </c>
      <c r="H79" s="58" t="s">
        <v>44</v>
      </c>
      <c r="I79" s="58"/>
      <c r="J79" s="58"/>
      <c r="K79" s="58"/>
      <c r="L79" s="58"/>
      <c r="M79" s="59"/>
      <c r="N79" s="58"/>
      <c r="O79" s="58"/>
      <c r="P79" s="58"/>
      <c r="Q79" s="61">
        <v>42660060100</v>
      </c>
      <c r="R79" s="61">
        <v>42660060100</v>
      </c>
    </row>
    <row r="80" spans="1:18" s="1" customFormat="1" ht="23.25" customHeight="1" x14ac:dyDescent="0.2">
      <c r="A80" s="61">
        <v>10</v>
      </c>
      <c r="B80" s="121" t="s">
        <v>97</v>
      </c>
      <c r="C80" s="113" t="s">
        <v>4</v>
      </c>
      <c r="D80" s="57">
        <v>0</v>
      </c>
      <c r="E80" s="57">
        <v>0.06</v>
      </c>
      <c r="F80" s="57">
        <v>0.06</v>
      </c>
      <c r="G80" s="57">
        <v>3.5</v>
      </c>
      <c r="H80" s="122" t="s">
        <v>44</v>
      </c>
      <c r="I80" s="123"/>
      <c r="J80" s="61"/>
      <c r="K80" s="113"/>
      <c r="L80" s="61"/>
      <c r="M80" s="61"/>
      <c r="N80" s="122"/>
      <c r="O80" s="113"/>
      <c r="P80" s="122"/>
      <c r="Q80" s="114" t="s">
        <v>49</v>
      </c>
      <c r="R80" s="61">
        <v>42660060040</v>
      </c>
    </row>
    <row r="81" spans="1:32" s="1" customFormat="1" ht="22.5" x14ac:dyDescent="0.2">
      <c r="A81" s="61"/>
      <c r="B81" s="121"/>
      <c r="C81" s="113" t="s">
        <v>4</v>
      </c>
      <c r="D81" s="57">
        <v>0.06</v>
      </c>
      <c r="E81" s="57">
        <v>0.73</v>
      </c>
      <c r="F81" s="57">
        <v>0.65</v>
      </c>
      <c r="G81" s="57">
        <v>3.5</v>
      </c>
      <c r="H81" s="122" t="s">
        <v>44</v>
      </c>
      <c r="I81" s="123" t="s">
        <v>98</v>
      </c>
      <c r="J81" s="61">
        <v>7.0000000000000007E-2</v>
      </c>
      <c r="K81" s="113" t="s">
        <v>99</v>
      </c>
      <c r="L81" s="57">
        <v>18.100000000000001</v>
      </c>
      <c r="M81" s="61">
        <v>127</v>
      </c>
      <c r="N81" s="122"/>
      <c r="O81" s="113" t="s">
        <v>100</v>
      </c>
      <c r="P81" s="122"/>
      <c r="Q81" s="124">
        <v>42660060101</v>
      </c>
      <c r="R81" s="124">
        <v>42660060101</v>
      </c>
    </row>
    <row r="82" spans="1:32" s="1" customFormat="1" ht="11.25" x14ac:dyDescent="0.2">
      <c r="A82" s="115">
        <v>11</v>
      </c>
      <c r="B82" s="125" t="s">
        <v>101</v>
      </c>
      <c r="C82" s="113" t="s">
        <v>4</v>
      </c>
      <c r="D82" s="55">
        <v>0</v>
      </c>
      <c r="E82" s="55">
        <v>1.98</v>
      </c>
      <c r="F82" s="55">
        <v>1.98</v>
      </c>
      <c r="G82" s="55">
        <v>4.5</v>
      </c>
      <c r="H82" s="58" t="s">
        <v>44</v>
      </c>
      <c r="I82" s="58"/>
      <c r="J82" s="58"/>
      <c r="K82" s="58"/>
      <c r="L82" s="58"/>
      <c r="M82" s="58"/>
      <c r="N82" s="58"/>
      <c r="O82" s="58"/>
      <c r="P82" s="58"/>
      <c r="Q82" s="61">
        <v>42660040177</v>
      </c>
      <c r="R82" s="61">
        <v>42660040177</v>
      </c>
    </row>
    <row r="83" spans="1:32" s="1" customFormat="1" ht="22.5" x14ac:dyDescent="0.2">
      <c r="A83" s="54">
        <v>12</v>
      </c>
      <c r="B83" s="70" t="s">
        <v>102</v>
      </c>
      <c r="C83" s="113" t="s">
        <v>3</v>
      </c>
      <c r="D83" s="55">
        <v>0</v>
      </c>
      <c r="E83" s="55">
        <v>3.05</v>
      </c>
      <c r="F83" s="55">
        <v>3.05</v>
      </c>
      <c r="G83" s="55">
        <v>7</v>
      </c>
      <c r="H83" s="58" t="s">
        <v>44</v>
      </c>
      <c r="I83" s="58"/>
      <c r="J83" s="58"/>
      <c r="K83" s="58"/>
      <c r="L83" s="58"/>
      <c r="M83" s="58"/>
      <c r="N83" s="58"/>
      <c r="O83" s="58"/>
      <c r="P83" s="58"/>
      <c r="Q83" s="61">
        <v>42660010114</v>
      </c>
      <c r="R83" s="61">
        <v>42660030106</v>
      </c>
    </row>
    <row r="84" spans="1:32" s="1" customFormat="1" ht="11.25" x14ac:dyDescent="0.2">
      <c r="A84" s="118"/>
      <c r="B84" s="119" t="s">
        <v>89</v>
      </c>
      <c r="C84" s="113" t="s">
        <v>3</v>
      </c>
      <c r="D84" s="55">
        <v>3.05</v>
      </c>
      <c r="E84" s="55">
        <v>5.46</v>
      </c>
      <c r="F84" s="55">
        <v>2.41</v>
      </c>
      <c r="G84" s="55">
        <v>7</v>
      </c>
      <c r="H84" s="58" t="s">
        <v>44</v>
      </c>
      <c r="I84" s="58"/>
      <c r="J84" s="58"/>
      <c r="K84" s="58"/>
      <c r="L84" s="58"/>
      <c r="M84" s="58"/>
      <c r="N84" s="58"/>
      <c r="O84" s="58"/>
      <c r="P84" s="58"/>
      <c r="Q84" s="61">
        <v>42660010114</v>
      </c>
      <c r="R84" s="61">
        <v>42660010114</v>
      </c>
    </row>
    <row r="85" spans="1:32" s="1" customFormat="1" ht="22.5" x14ac:dyDescent="0.2">
      <c r="A85" s="115">
        <v>13</v>
      </c>
      <c r="B85" s="120" t="s">
        <v>103</v>
      </c>
      <c r="C85" s="113" t="s">
        <v>4</v>
      </c>
      <c r="D85" s="55">
        <v>0</v>
      </c>
      <c r="E85" s="55">
        <v>0.32</v>
      </c>
      <c r="F85" s="55">
        <v>0.32</v>
      </c>
      <c r="G85" s="55">
        <v>3</v>
      </c>
      <c r="H85" s="58" t="s">
        <v>44</v>
      </c>
      <c r="I85" s="58"/>
      <c r="J85" s="58"/>
      <c r="K85" s="58"/>
      <c r="L85" s="58"/>
      <c r="M85" s="58"/>
      <c r="N85" s="58"/>
      <c r="O85" s="58"/>
      <c r="P85" s="58"/>
      <c r="Q85" s="61">
        <v>42660030113</v>
      </c>
      <c r="R85" s="61">
        <v>42660030113</v>
      </c>
    </row>
    <row r="86" spans="1:32" s="1" customFormat="1" ht="23.25" x14ac:dyDescent="0.25">
      <c r="A86" s="61">
        <v>14</v>
      </c>
      <c r="B86" s="76" t="s">
        <v>104</v>
      </c>
      <c r="C86" s="113" t="s">
        <v>4</v>
      </c>
      <c r="D86" s="55">
        <v>0</v>
      </c>
      <c r="E86" s="55">
        <v>1.04</v>
      </c>
      <c r="F86" s="55">
        <v>1.04</v>
      </c>
      <c r="G86" s="55">
        <v>3.8</v>
      </c>
      <c r="H86" s="58" t="s">
        <v>44</v>
      </c>
      <c r="I86" s="58"/>
      <c r="J86" s="58"/>
      <c r="K86" s="58"/>
      <c r="L86" s="58"/>
      <c r="M86" s="58"/>
      <c r="N86" s="58"/>
      <c r="O86" s="58"/>
      <c r="P86" s="58"/>
      <c r="Q86" s="61">
        <v>42660030114</v>
      </c>
      <c r="R86" s="61">
        <v>42660030114</v>
      </c>
      <c r="S86"/>
      <c r="T86"/>
      <c r="U86"/>
      <c r="V86"/>
      <c r="W86"/>
      <c r="X86"/>
      <c r="Y86"/>
      <c r="Z86"/>
      <c r="AA86" t="s">
        <v>70</v>
      </c>
      <c r="AB86"/>
      <c r="AC86"/>
      <c r="AD86"/>
      <c r="AE86"/>
      <c r="AF86"/>
    </row>
    <row r="87" spans="1:32" s="1" customFormat="1" ht="22.5" x14ac:dyDescent="0.2">
      <c r="C87" s="77"/>
      <c r="K87" s="78" t="s">
        <v>71</v>
      </c>
      <c r="L87" s="81">
        <f>SUM(L64:L86)</f>
        <v>18.100000000000001</v>
      </c>
      <c r="M87" s="81">
        <f>SUM(M64:M86)</f>
        <v>127</v>
      </c>
      <c r="N87" s="80"/>
      <c r="O87" s="78" t="s">
        <v>72</v>
      </c>
      <c r="P87" s="81">
        <f>SUM(P64:P86)</f>
        <v>0</v>
      </c>
      <c r="S87" s="82"/>
      <c r="T87" s="83" t="s">
        <v>73</v>
      </c>
      <c r="U87" s="83" t="s">
        <v>74</v>
      </c>
      <c r="V87" s="83" t="s">
        <v>75</v>
      </c>
      <c r="W87" s="83" t="s">
        <v>76</v>
      </c>
      <c r="X87" s="83" t="s">
        <v>77</v>
      </c>
      <c r="Y87" s="84" t="s">
        <v>72</v>
      </c>
      <c r="Z87" s="82"/>
      <c r="AA87" s="83" t="s">
        <v>73</v>
      </c>
      <c r="AB87" s="83" t="s">
        <v>74</v>
      </c>
      <c r="AC87" s="83" t="s">
        <v>75</v>
      </c>
      <c r="AD87" s="83" t="s">
        <v>76</v>
      </c>
      <c r="AE87" s="83" t="s">
        <v>77</v>
      </c>
      <c r="AF87" s="84" t="s">
        <v>72</v>
      </c>
    </row>
    <row r="88" spans="1:32" s="1" customFormat="1" ht="11.25" x14ac:dyDescent="0.2">
      <c r="A88" s="85" t="s">
        <v>105</v>
      </c>
      <c r="B88" s="86"/>
      <c r="C88" s="86"/>
      <c r="D88" s="87"/>
      <c r="E88" s="87"/>
      <c r="F88" s="81">
        <f>SUM(F64:F86)</f>
        <v>26.999999999999996</v>
      </c>
      <c r="G88" s="88"/>
      <c r="H88" s="89"/>
      <c r="I88" s="27"/>
      <c r="J88" s="90"/>
      <c r="Q88" s="80"/>
      <c r="S88" s="91" t="s">
        <v>38</v>
      </c>
      <c r="T88" s="83" t="s">
        <v>41</v>
      </c>
      <c r="U88" s="83" t="s">
        <v>41</v>
      </c>
      <c r="V88" s="83" t="s">
        <v>41</v>
      </c>
      <c r="W88" s="83" t="s">
        <v>41</v>
      </c>
      <c r="X88" s="83" t="s">
        <v>41</v>
      </c>
      <c r="Y88" s="84" t="s">
        <v>41</v>
      </c>
      <c r="Z88" s="91"/>
      <c r="AA88" s="83" t="s">
        <v>41</v>
      </c>
      <c r="AB88" s="83" t="s">
        <v>41</v>
      </c>
      <c r="AC88" s="83" t="s">
        <v>41</v>
      </c>
      <c r="AD88" s="83" t="s">
        <v>41</v>
      </c>
      <c r="AE88" s="83" t="s">
        <v>41</v>
      </c>
      <c r="AF88" s="84" t="s">
        <v>41</v>
      </c>
    </row>
    <row r="89" spans="1:32" s="1" customFormat="1" ht="11.25" x14ac:dyDescent="0.2">
      <c r="A89" s="92" t="s">
        <v>79</v>
      </c>
      <c r="B89" s="93"/>
      <c r="C89" s="93"/>
      <c r="D89" s="94"/>
      <c r="E89" s="94"/>
      <c r="F89" s="95">
        <v>0</v>
      </c>
      <c r="G89" s="96"/>
      <c r="H89" s="97"/>
      <c r="I89" s="98"/>
      <c r="J89" s="80"/>
      <c r="K89" s="80"/>
      <c r="L89" s="99"/>
      <c r="M89" s="99"/>
      <c r="N89" s="80"/>
      <c r="O89" s="80"/>
      <c r="P89" s="80"/>
      <c r="Q89" s="80"/>
      <c r="S89" s="100" t="s">
        <v>1</v>
      </c>
      <c r="T89" s="101">
        <f>SUMIFS(F49:F86,C49:C86,"A",H49:H86,"melnais")</f>
        <v>0</v>
      </c>
      <c r="U89" s="101">
        <f>SUMIFS(F49:F86,C49:C86,"A",H49:H86,"dubultā virsma")</f>
        <v>0</v>
      </c>
      <c r="V89" s="101">
        <f>SUMIFS(F49:F86,C49:C86,"A",H49:H86,"bruģis")</f>
        <v>0</v>
      </c>
      <c r="W89" s="101">
        <f>SUMIFS(F49:F86,C49:C86,"A",H49:H86,"grants")</f>
        <v>0</v>
      </c>
      <c r="X89" s="101">
        <f>SUMIFS(F49:F86,C49:C86,"A",H49:H86,"cits segums")</f>
        <v>0</v>
      </c>
      <c r="Y89" s="101">
        <f>SUM(T89:X89)</f>
        <v>0</v>
      </c>
      <c r="Z89" s="100" t="s">
        <v>1</v>
      </c>
      <c r="AA89" s="102">
        <f>SUMIFS(F49:F86,C49:C86,"A",H49:H86,"melnais", Q49:Q86,"Nepiederošs")</f>
        <v>0</v>
      </c>
      <c r="AB89" s="102">
        <f>SUMIFS(F49:F86,C49:C86,"A",H49:H86,"dubultā virsma", Q49:Q86,"Nepiederošs")</f>
        <v>0</v>
      </c>
      <c r="AC89" s="102">
        <f>SUMIFS(F49:F86,C49:C86,"A",H49:H86,"bruģis", Q49:Q86,"Nepiederošs")</f>
        <v>0</v>
      </c>
      <c r="AD89" s="102">
        <f>SUMIFS(F49:F86,C49:C86,"A",H49:H86,"grants", Q49:Q86,"Nepiederošs")</f>
        <v>0</v>
      </c>
      <c r="AE89" s="102">
        <f>SUMIFS(F49:F86,C49:C86,"A",H49:H86,"cits segums", Q49:Q86,"Nepiederošs")</f>
        <v>0</v>
      </c>
      <c r="AF89" s="102">
        <f>SUM(AA89:AE89)</f>
        <v>0</v>
      </c>
    </row>
    <row r="90" spans="1:32" s="1" customFormat="1" ht="11.25" x14ac:dyDescent="0.2">
      <c r="A90" s="92" t="s">
        <v>80</v>
      </c>
      <c r="B90" s="93"/>
      <c r="C90" s="93"/>
      <c r="D90" s="94"/>
      <c r="E90" s="94"/>
      <c r="F90" s="95">
        <f>F74</f>
        <v>7.0000000000000007E-2</v>
      </c>
      <c r="G90" s="96"/>
      <c r="H90" s="27"/>
      <c r="I90" s="27"/>
      <c r="J90" s="80"/>
      <c r="K90" s="103"/>
      <c r="L90" s="103"/>
      <c r="M90" s="103"/>
      <c r="N90" s="80"/>
      <c r="O90" s="80"/>
      <c r="P90" s="80"/>
      <c r="Q90" s="80"/>
      <c r="S90" s="104" t="s">
        <v>2</v>
      </c>
      <c r="T90" s="101">
        <f>SUMIFS(F49:F86,C49:C86,"B",H49:H86,"melnais")</f>
        <v>0</v>
      </c>
      <c r="U90" s="101">
        <f>SUMIFS(F49:F86,C49:C86,"B",H49:H86,"dubultā virsma")</f>
        <v>0</v>
      </c>
      <c r="V90" s="101">
        <f>SUMIFS(F49:F86,C49:C86,"B",H49:H86,"bruģis")</f>
        <v>0</v>
      </c>
      <c r="W90" s="101">
        <f>SUMIFS(F49:F86,C49:C86,"B",H49:H86,"grants")</f>
        <v>0</v>
      </c>
      <c r="X90" s="101">
        <f>SUMIFS(F49:F86,C49:C86,"B",H49:H86,"cits segums")</f>
        <v>0</v>
      </c>
      <c r="Y90" s="101">
        <f t="shared" ref="Y90:Y92" si="5">SUM(T90:X90)</f>
        <v>0</v>
      </c>
      <c r="Z90" s="104" t="s">
        <v>2</v>
      </c>
      <c r="AA90" s="102">
        <f>SUMIFS(F49:F86,C49:C86,"B",H49:H86,"melnais", Q49:Q86,"Nepiederošs")</f>
        <v>0</v>
      </c>
      <c r="AB90" s="102">
        <f>SUMIFS(F49:F86,C49:C86,"B",H49:H86,"dubultā virsma", Q49:Q86,"Nepiederošs")</f>
        <v>0</v>
      </c>
      <c r="AC90" s="102">
        <f>SUMIFS(F49:F86,C49:C86,"B",H49:H86,"bruģis", Q49:Q86,"Nepiederošs")</f>
        <v>0</v>
      </c>
      <c r="AD90" s="102">
        <f>SUMIFS(F49:F86,C49:C86,"B",H49:H86,"grants", Q49:Q86,"Nepiederošs")</f>
        <v>0</v>
      </c>
      <c r="AE90" s="102">
        <f>SUMIFS(F49:F86,C49:C86,"B",H49:H86,"cits segums", Q49:Q86,"Nepiederošs")</f>
        <v>0</v>
      </c>
      <c r="AF90" s="102">
        <f t="shared" ref="AF90:AF92" si="6">SUM(AA90:AE90)</f>
        <v>0</v>
      </c>
    </row>
    <row r="91" spans="1:32" s="1" customFormat="1" ht="11.25" x14ac:dyDescent="0.2">
      <c r="A91" s="92" t="s">
        <v>81</v>
      </c>
      <c r="B91" s="93"/>
      <c r="C91" s="93"/>
      <c r="D91" s="94"/>
      <c r="E91" s="94"/>
      <c r="F91" s="95">
        <f>F88-F89-F92-F90</f>
        <v>26.679999999999996</v>
      </c>
      <c r="G91" s="96"/>
      <c r="H91" s="27"/>
      <c r="I91" s="27"/>
      <c r="J91" s="80"/>
      <c r="K91" s="103"/>
      <c r="L91" s="103"/>
      <c r="M91" s="103"/>
      <c r="N91" s="80"/>
      <c r="O91" s="80"/>
      <c r="P91" s="80"/>
      <c r="Q91" s="80"/>
      <c r="S91" s="105" t="s">
        <v>3</v>
      </c>
      <c r="T91" s="101">
        <f>SUMIFS(F49:F86,C49:C86,"C",H49:H86,"melnais")</f>
        <v>0</v>
      </c>
      <c r="U91" s="101">
        <f>SUMIFS(F49:F86,C49:C86,"C",H49:H86,"dubultā virsma")</f>
        <v>0</v>
      </c>
      <c r="V91" s="101">
        <f>SUMIFS(F49:F86,C49:C86,"C",H49:H86,"bruģis")</f>
        <v>0</v>
      </c>
      <c r="W91" s="101">
        <f>SUMIFS(F49:F86,C49:C86,"C",H49:H86,"grants")</f>
        <v>5.46</v>
      </c>
      <c r="X91" s="101">
        <f>SUMIFS(F49:F86,C49:C86,"C",H49:H86,"cits segums")</f>
        <v>0</v>
      </c>
      <c r="Y91" s="101">
        <f t="shared" si="5"/>
        <v>5.46</v>
      </c>
      <c r="Z91" s="105" t="s">
        <v>3</v>
      </c>
      <c r="AA91" s="102">
        <f>SUMIFS(F49:F86,C49:C86,"C",H49:H86,"melnais", Q49:Q86,"Nepiederošs")</f>
        <v>0</v>
      </c>
      <c r="AB91" s="102">
        <f>SUMIFS(F49:F86,C49:C86,"C",H49:H86,"dubultā virsma", Q49:Q86,"Nepiederošs")</f>
        <v>0</v>
      </c>
      <c r="AC91" s="102">
        <f>SUMIFS(F49:F86,C49:C86,"C",H49:H86,"bruģis", Q49:Q86,"Nepiederošs")</f>
        <v>0</v>
      </c>
      <c r="AD91" s="102">
        <f>SUMIFS(F49:F86,C49:C86,"C",H49:H86,"grants", Q49:Q86,"Nepiederošs")</f>
        <v>0</v>
      </c>
      <c r="AE91" s="102">
        <f>SUMIFS(F49:F86,C49:C86,"C",H49:H86,"cits segums", Q49:Q86,"Nepiederošs")</f>
        <v>0</v>
      </c>
      <c r="AF91" s="102">
        <f t="shared" si="6"/>
        <v>0</v>
      </c>
    </row>
    <row r="92" spans="1:32" s="1" customFormat="1" ht="11.25" x14ac:dyDescent="0.2">
      <c r="A92" s="92" t="s">
        <v>82</v>
      </c>
      <c r="B92" s="93"/>
      <c r="C92" s="93"/>
      <c r="D92" s="94"/>
      <c r="E92" s="94"/>
      <c r="F92" s="95">
        <f>F70</f>
        <v>0.25</v>
      </c>
      <c r="G92" s="96"/>
      <c r="H92" s="98"/>
      <c r="I92" s="27"/>
      <c r="J92" s="106"/>
      <c r="K92" s="103"/>
      <c r="L92" s="103"/>
      <c r="M92" s="103"/>
      <c r="N92" s="80"/>
      <c r="O92" s="80"/>
      <c r="P92" s="80"/>
      <c r="Q92" s="80"/>
      <c r="S92" s="100" t="s">
        <v>4</v>
      </c>
      <c r="T92" s="101">
        <f>SUMIFS(F49:F86,C49:C86,"D",H49:H86,"melnais")</f>
        <v>0</v>
      </c>
      <c r="U92" s="101">
        <f>SUMIFS(F49:F86,C49:C86,"D",H49:H86,"dubultā virsma")</f>
        <v>0</v>
      </c>
      <c r="V92" s="101">
        <f>SUMIFS(F49:F86,C49:C86,"D",H49:H86,"bruģis")</f>
        <v>7.0000000000000007E-2</v>
      </c>
      <c r="W92" s="101">
        <f>SUMIFS(F49:F86,C49:C86,"D",H49:H86,"grants")</f>
        <v>21.219999999999995</v>
      </c>
      <c r="X92" s="101">
        <f>SUMIFS(F49:F86,C49:C86,"D",H49:H86,"cits segums")</f>
        <v>0.25</v>
      </c>
      <c r="Y92" s="101">
        <f t="shared" si="5"/>
        <v>21.539999999999996</v>
      </c>
      <c r="Z92" s="100" t="s">
        <v>4</v>
      </c>
      <c r="AA92" s="102">
        <f>SUMIFS(F49:F86,C49:C86,"D",H49:H86,"melnais", Q49:Q86,"Nepiederošs")</f>
        <v>0</v>
      </c>
      <c r="AB92" s="102">
        <f>SUMIFS(F49:F86,C49:C86,"D",H49:H86,"dubultā virsma", Q49:Q86,"Nepiederošs")</f>
        <v>0</v>
      </c>
      <c r="AC92" s="102">
        <f>SUMIFS(F49:F86,C49:C86,"D",H49:H86,"bruģis", Q49:Q86,"Nepiederošs")</f>
        <v>0</v>
      </c>
      <c r="AD92" s="102">
        <f>SUMIFS(F49:F86,C49:C86,"D",H49:H86,"grants", Q49:Q86,"Nepiederošs")</f>
        <v>0.46</v>
      </c>
      <c r="AE92" s="102">
        <f>SUMIFS(F49:F86,C49:C86,"D",H49:H86,"cits segums", Q49:Q86,"Nepiederošs")</f>
        <v>0</v>
      </c>
      <c r="AF92" s="102">
        <f t="shared" si="6"/>
        <v>0.46</v>
      </c>
    </row>
    <row r="93" spans="1:32" x14ac:dyDescent="0.25">
      <c r="C93" s="107"/>
      <c r="T93" s="108">
        <f>SUM(T89:T92)</f>
        <v>0</v>
      </c>
      <c r="U93" s="108">
        <f t="shared" ref="U93:Y93" si="7">SUM(U89:U92)</f>
        <v>0</v>
      </c>
      <c r="V93" s="108">
        <f t="shared" si="7"/>
        <v>7.0000000000000007E-2</v>
      </c>
      <c r="W93" s="108">
        <f t="shared" si="7"/>
        <v>26.679999999999996</v>
      </c>
      <c r="X93" s="108">
        <f t="shared" si="7"/>
        <v>0.25</v>
      </c>
      <c r="Y93" s="108">
        <f t="shared" si="7"/>
        <v>26.999999999999996</v>
      </c>
      <c r="AA93" s="109">
        <f>SUM(AA89:AA92)</f>
        <v>0</v>
      </c>
      <c r="AB93" s="109">
        <f t="shared" ref="AB93" si="8">SUM(AB89:AB92)</f>
        <v>0</v>
      </c>
      <c r="AC93" s="109">
        <f>SUM(AC89:AC92)</f>
        <v>0</v>
      </c>
      <c r="AD93" s="109">
        <f t="shared" ref="AD93:AF93" si="9">SUM(AD89:AD92)</f>
        <v>0.46</v>
      </c>
      <c r="AE93" s="109">
        <f t="shared" si="9"/>
        <v>0</v>
      </c>
      <c r="AF93" s="109">
        <f t="shared" si="9"/>
        <v>0.46</v>
      </c>
    </row>
    <row r="94" spans="1:32" s="6" customFormat="1" ht="15" customHeight="1" x14ac:dyDescent="0.25">
      <c r="A94" s="16"/>
      <c r="B94" s="16"/>
      <c r="C94" s="16"/>
      <c r="D94" s="17" t="s">
        <v>106</v>
      </c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8"/>
      <c r="R94" s="19"/>
    </row>
    <row r="95" spans="1:32" s="6" customFormat="1" ht="11.25" x14ac:dyDescent="0.25">
      <c r="A95" s="16"/>
      <c r="B95" s="16"/>
      <c r="C95" s="16"/>
      <c r="D95" s="25"/>
      <c r="E95" s="25"/>
      <c r="F95" s="25"/>
      <c r="G95" s="25"/>
      <c r="H95" s="18"/>
      <c r="I95" s="16"/>
      <c r="J95" s="16"/>
      <c r="K95" s="16"/>
      <c r="L95" s="16"/>
      <c r="M95" s="16"/>
      <c r="N95" s="26"/>
      <c r="O95" s="26"/>
      <c r="P95" s="16"/>
      <c r="Q95" s="16"/>
      <c r="R95" s="19"/>
    </row>
    <row r="96" spans="1:32" s="27" customFormat="1" ht="5.25" customHeight="1" x14ac:dyDescent="0.2">
      <c r="C96" s="26"/>
    </row>
    <row r="97" spans="1:18" s="27" customFormat="1" ht="12.75" customHeight="1" x14ac:dyDescent="0.2">
      <c r="A97" s="28" t="s">
        <v>19</v>
      </c>
      <c r="B97" s="29" t="s">
        <v>20</v>
      </c>
      <c r="C97" s="30"/>
      <c r="D97" s="31" t="s">
        <v>21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3"/>
      <c r="Q97" s="34" t="s">
        <v>22</v>
      </c>
      <c r="R97" s="35"/>
    </row>
    <row r="98" spans="1:18" s="27" customFormat="1" ht="12.75" customHeight="1" x14ac:dyDescent="0.2">
      <c r="A98" s="28"/>
      <c r="B98" s="36"/>
      <c r="C98" s="37"/>
      <c r="D98" s="38" t="s">
        <v>23</v>
      </c>
      <c r="E98" s="38"/>
      <c r="F98" s="38"/>
      <c r="G98" s="38"/>
      <c r="H98" s="38"/>
      <c r="I98" s="39" t="s">
        <v>24</v>
      </c>
      <c r="J98" s="39"/>
      <c r="K98" s="39"/>
      <c r="L98" s="39"/>
      <c r="M98" s="39"/>
      <c r="N98" s="39"/>
      <c r="O98" s="39"/>
      <c r="P98" s="40" t="s">
        <v>25</v>
      </c>
      <c r="Q98" s="41"/>
      <c r="R98" s="42"/>
    </row>
    <row r="99" spans="1:18" s="27" customFormat="1" ht="15.2" customHeight="1" x14ac:dyDescent="0.2">
      <c r="A99" s="28"/>
      <c r="B99" s="36"/>
      <c r="C99" s="37"/>
      <c r="D99" s="38" t="s">
        <v>26</v>
      </c>
      <c r="E99" s="38"/>
      <c r="F99" s="28" t="s">
        <v>27</v>
      </c>
      <c r="G99" s="28" t="s">
        <v>28</v>
      </c>
      <c r="H99" s="28" t="s">
        <v>29</v>
      </c>
      <c r="I99" s="39" t="s">
        <v>30</v>
      </c>
      <c r="J99" s="39" t="s">
        <v>31</v>
      </c>
      <c r="K99" s="39"/>
      <c r="L99" s="43" t="s">
        <v>32</v>
      </c>
      <c r="M99" s="43" t="s">
        <v>33</v>
      </c>
      <c r="N99" s="43" t="s">
        <v>34</v>
      </c>
      <c r="O99" s="43" t="s">
        <v>35</v>
      </c>
      <c r="P99" s="44"/>
      <c r="Q99" s="44" t="s">
        <v>36</v>
      </c>
      <c r="R99" s="36" t="s">
        <v>37</v>
      </c>
    </row>
    <row r="100" spans="1:18" s="27" customFormat="1" ht="59.25" customHeight="1" x14ac:dyDescent="0.2">
      <c r="A100" s="28"/>
      <c r="B100" s="45"/>
      <c r="C100" s="46" t="s">
        <v>38</v>
      </c>
      <c r="D100" s="47" t="s">
        <v>39</v>
      </c>
      <c r="E100" s="47" t="s">
        <v>40</v>
      </c>
      <c r="F100" s="28"/>
      <c r="G100" s="28"/>
      <c r="H100" s="28"/>
      <c r="I100" s="39"/>
      <c r="J100" s="48" t="s">
        <v>41</v>
      </c>
      <c r="K100" s="48" t="s">
        <v>42</v>
      </c>
      <c r="L100" s="43"/>
      <c r="M100" s="43"/>
      <c r="N100" s="43"/>
      <c r="O100" s="43"/>
      <c r="P100" s="49"/>
      <c r="Q100" s="49"/>
      <c r="R100" s="45"/>
    </row>
    <row r="101" spans="1:18" s="111" customFormat="1" ht="12" customHeight="1" x14ac:dyDescent="0.25">
      <c r="A101" s="126">
        <v>1</v>
      </c>
      <c r="B101" s="126">
        <v>2</v>
      </c>
      <c r="C101" s="126"/>
      <c r="D101" s="50">
        <v>3</v>
      </c>
      <c r="E101" s="50">
        <v>4</v>
      </c>
      <c r="F101" s="50">
        <v>5</v>
      </c>
      <c r="G101" s="50">
        <v>5.0999999999999996</v>
      </c>
      <c r="H101" s="50">
        <v>6</v>
      </c>
      <c r="I101" s="51">
        <v>7</v>
      </c>
      <c r="J101" s="51">
        <v>8</v>
      </c>
      <c r="K101" s="51">
        <v>9</v>
      </c>
      <c r="L101" s="51">
        <v>10</v>
      </c>
      <c r="M101" s="51">
        <v>11</v>
      </c>
      <c r="N101" s="51">
        <v>12</v>
      </c>
      <c r="O101" s="51">
        <v>13</v>
      </c>
      <c r="P101" s="51">
        <v>14</v>
      </c>
      <c r="Q101" s="51">
        <v>15</v>
      </c>
      <c r="R101" s="50">
        <v>16</v>
      </c>
    </row>
    <row r="102" spans="1:18" s="1" customFormat="1" ht="11.25" x14ac:dyDescent="0.2">
      <c r="A102" s="127">
        <v>1</v>
      </c>
      <c r="B102" s="112" t="s">
        <v>107</v>
      </c>
      <c r="C102" s="113" t="s">
        <v>3</v>
      </c>
      <c r="D102" s="57">
        <v>0</v>
      </c>
      <c r="E102" s="57">
        <v>1.9</v>
      </c>
      <c r="F102" s="57">
        <v>1.9</v>
      </c>
      <c r="G102" s="57">
        <v>5</v>
      </c>
      <c r="H102" s="128" t="s">
        <v>44</v>
      </c>
      <c r="I102" s="61"/>
      <c r="J102" s="61"/>
      <c r="K102" s="61"/>
      <c r="L102" s="61"/>
      <c r="M102" s="61"/>
      <c r="N102" s="61"/>
      <c r="O102" s="61"/>
      <c r="P102" s="61"/>
      <c r="Q102" s="61">
        <v>80420020158</v>
      </c>
      <c r="R102" s="61">
        <v>80420020158</v>
      </c>
    </row>
    <row r="103" spans="1:18" s="1" customFormat="1" ht="11.25" x14ac:dyDescent="0.2">
      <c r="A103" s="129"/>
      <c r="B103" s="120" t="s">
        <v>89</v>
      </c>
      <c r="C103" s="113" t="s">
        <v>3</v>
      </c>
      <c r="D103" s="57">
        <v>1.9</v>
      </c>
      <c r="E103" s="57">
        <v>2.4299999999999997</v>
      </c>
      <c r="F103" s="57">
        <v>0.53</v>
      </c>
      <c r="G103" s="57">
        <v>5</v>
      </c>
      <c r="H103" s="128" t="s">
        <v>44</v>
      </c>
      <c r="I103" s="61"/>
      <c r="J103" s="61"/>
      <c r="K103" s="61"/>
      <c r="L103" s="61"/>
      <c r="M103" s="61"/>
      <c r="N103" s="61"/>
      <c r="O103" s="61"/>
      <c r="P103" s="61"/>
      <c r="Q103" s="61">
        <v>80420020158</v>
      </c>
      <c r="R103" s="61">
        <v>80420030069</v>
      </c>
    </row>
    <row r="104" spans="1:18" s="1" customFormat="1" ht="22.5" x14ac:dyDescent="0.2">
      <c r="A104" s="130">
        <v>2</v>
      </c>
      <c r="B104" s="112" t="s">
        <v>108</v>
      </c>
      <c r="C104" s="113" t="s">
        <v>4</v>
      </c>
      <c r="D104" s="57">
        <v>0</v>
      </c>
      <c r="E104" s="57">
        <v>2.11</v>
      </c>
      <c r="F104" s="57">
        <v>2.11</v>
      </c>
      <c r="G104" s="57">
        <v>5</v>
      </c>
      <c r="H104" s="128" t="s">
        <v>44</v>
      </c>
      <c r="I104" s="61"/>
      <c r="J104" s="61"/>
      <c r="K104" s="61"/>
      <c r="L104" s="61"/>
      <c r="M104" s="61"/>
      <c r="N104" s="61"/>
      <c r="O104" s="61"/>
      <c r="P104" s="61"/>
      <c r="Q104" s="61">
        <v>80420010383</v>
      </c>
      <c r="R104" s="61">
        <v>80420020159</v>
      </c>
    </row>
    <row r="105" spans="1:18" s="1" customFormat="1" ht="11.25" x14ac:dyDescent="0.2">
      <c r="A105" s="129"/>
      <c r="B105" s="120" t="s">
        <v>89</v>
      </c>
      <c r="C105" s="113" t="s">
        <v>4</v>
      </c>
      <c r="D105" s="57">
        <v>2.11</v>
      </c>
      <c r="E105" s="57">
        <v>3.61</v>
      </c>
      <c r="F105" s="57">
        <v>1.5</v>
      </c>
      <c r="G105" s="57">
        <v>4</v>
      </c>
      <c r="H105" s="128" t="s">
        <v>44</v>
      </c>
      <c r="I105" s="61"/>
      <c r="J105" s="61"/>
      <c r="K105" s="61"/>
      <c r="L105" s="61"/>
      <c r="M105" s="61"/>
      <c r="N105" s="61"/>
      <c r="O105" s="61"/>
      <c r="P105" s="61"/>
      <c r="Q105" s="61">
        <v>80420010383</v>
      </c>
      <c r="R105" s="61">
        <v>80420010383</v>
      </c>
    </row>
    <row r="106" spans="1:18" s="1" customFormat="1" ht="22.5" x14ac:dyDescent="0.2">
      <c r="A106" s="130">
        <v>3</v>
      </c>
      <c r="B106" s="131" t="s">
        <v>109</v>
      </c>
      <c r="C106" s="113" t="s">
        <v>4</v>
      </c>
      <c r="D106" s="132">
        <v>0</v>
      </c>
      <c r="E106" s="57">
        <v>0.84</v>
      </c>
      <c r="F106" s="57">
        <v>0.84</v>
      </c>
      <c r="G106" s="57">
        <v>4</v>
      </c>
      <c r="H106" s="128" t="s">
        <v>44</v>
      </c>
      <c r="I106" s="61"/>
      <c r="J106" s="61"/>
      <c r="K106" s="61"/>
      <c r="L106" s="61"/>
      <c r="M106" s="61"/>
      <c r="N106" s="61"/>
      <c r="O106" s="61"/>
      <c r="P106" s="61"/>
      <c r="Q106" s="61">
        <v>80420010384</v>
      </c>
      <c r="R106" s="61">
        <v>80420010384</v>
      </c>
    </row>
    <row r="107" spans="1:18" s="1" customFormat="1" ht="11.25" x14ac:dyDescent="0.2">
      <c r="A107" s="133"/>
      <c r="B107" s="134" t="s">
        <v>89</v>
      </c>
      <c r="C107" s="113" t="s">
        <v>4</v>
      </c>
      <c r="D107" s="132">
        <v>0.84</v>
      </c>
      <c r="E107" s="57">
        <v>1.01</v>
      </c>
      <c r="F107" s="57">
        <v>0.17</v>
      </c>
      <c r="G107" s="57">
        <v>3</v>
      </c>
      <c r="H107" s="128" t="s">
        <v>46</v>
      </c>
      <c r="I107" s="61"/>
      <c r="J107" s="61"/>
      <c r="K107" s="61"/>
      <c r="L107" s="61"/>
      <c r="M107" s="61"/>
      <c r="N107" s="61"/>
      <c r="O107" s="61"/>
      <c r="P107" s="61"/>
      <c r="Q107" s="61">
        <v>80420010384</v>
      </c>
      <c r="R107" s="61">
        <v>80420010384</v>
      </c>
    </row>
    <row r="108" spans="1:18" s="1" customFormat="1" ht="11.25" x14ac:dyDescent="0.2">
      <c r="A108" s="133"/>
      <c r="B108" s="135" t="s">
        <v>110</v>
      </c>
      <c r="C108" s="113" t="s">
        <v>4</v>
      </c>
      <c r="D108" s="136">
        <v>0</v>
      </c>
      <c r="E108" s="137">
        <v>0.21</v>
      </c>
      <c r="F108" s="137">
        <v>0.21</v>
      </c>
      <c r="G108" s="137">
        <v>4</v>
      </c>
      <c r="H108" s="138" t="s">
        <v>44</v>
      </c>
      <c r="I108" s="115"/>
      <c r="J108" s="115"/>
      <c r="K108" s="115"/>
      <c r="L108" s="115"/>
      <c r="M108" s="115"/>
      <c r="N108" s="115"/>
      <c r="O108" s="115"/>
      <c r="P108" s="115"/>
      <c r="Q108" s="139" t="s">
        <v>49</v>
      </c>
      <c r="R108" s="140">
        <v>80420010157</v>
      </c>
    </row>
    <row r="109" spans="1:18" s="1" customFormat="1" ht="11.25" x14ac:dyDescent="0.2">
      <c r="A109" s="130">
        <v>4</v>
      </c>
      <c r="B109" s="112" t="s">
        <v>111</v>
      </c>
      <c r="C109" s="113" t="s">
        <v>4</v>
      </c>
      <c r="D109" s="57">
        <v>0</v>
      </c>
      <c r="E109" s="57">
        <v>0.13</v>
      </c>
      <c r="F109" s="57">
        <v>0.13</v>
      </c>
      <c r="G109" s="57">
        <v>4</v>
      </c>
      <c r="H109" s="128" t="s">
        <v>44</v>
      </c>
      <c r="I109" s="61"/>
      <c r="J109" s="61"/>
      <c r="K109" s="61"/>
      <c r="L109" s="61"/>
      <c r="M109" s="61"/>
      <c r="N109" s="61"/>
      <c r="O109" s="61"/>
      <c r="P109" s="61"/>
      <c r="Q109" s="61">
        <v>80420020157</v>
      </c>
      <c r="R109" s="61">
        <v>80420020157</v>
      </c>
    </row>
    <row r="110" spans="1:18" s="1" customFormat="1" ht="11.25" x14ac:dyDescent="0.2">
      <c r="A110" s="129"/>
      <c r="B110" s="120" t="s">
        <v>89</v>
      </c>
      <c r="C110" s="113" t="s">
        <v>4</v>
      </c>
      <c r="D110" s="57">
        <v>0.13</v>
      </c>
      <c r="E110" s="57">
        <v>0.4</v>
      </c>
      <c r="F110" s="57">
        <v>0.27</v>
      </c>
      <c r="G110" s="57">
        <v>3</v>
      </c>
      <c r="H110" s="128" t="s">
        <v>46</v>
      </c>
      <c r="I110" s="61"/>
      <c r="J110" s="61"/>
      <c r="K110" s="61"/>
      <c r="L110" s="61"/>
      <c r="M110" s="61"/>
      <c r="N110" s="61"/>
      <c r="O110" s="61"/>
      <c r="P110" s="61"/>
      <c r="Q110" s="61">
        <v>80420020157</v>
      </c>
      <c r="R110" s="61">
        <v>80420020157</v>
      </c>
    </row>
    <row r="111" spans="1:18" s="1" customFormat="1" ht="22.5" x14ac:dyDescent="0.2">
      <c r="A111" s="133">
        <v>5</v>
      </c>
      <c r="B111" s="125" t="s">
        <v>112</v>
      </c>
      <c r="C111" s="113" t="s">
        <v>3</v>
      </c>
      <c r="D111" s="73">
        <v>0</v>
      </c>
      <c r="E111" s="55">
        <v>0.14000000000000001</v>
      </c>
      <c r="F111" s="59">
        <v>0.14000000000000001</v>
      </c>
      <c r="G111" s="55">
        <v>4.5</v>
      </c>
      <c r="H111" s="141" t="s">
        <v>44</v>
      </c>
      <c r="I111" s="58"/>
      <c r="J111" s="58"/>
      <c r="K111" s="58"/>
      <c r="L111" s="58"/>
      <c r="M111" s="58"/>
      <c r="N111" s="58"/>
      <c r="O111" s="58"/>
      <c r="P111" s="58"/>
      <c r="Q111" s="142">
        <v>80420020274</v>
      </c>
      <c r="R111" s="142">
        <v>80420020274</v>
      </c>
    </row>
    <row r="112" spans="1:18" s="1" customFormat="1" ht="11.25" x14ac:dyDescent="0.2">
      <c r="A112" s="133"/>
      <c r="B112" s="125"/>
      <c r="C112" s="113" t="s">
        <v>3</v>
      </c>
      <c r="D112" s="57">
        <v>0.14000000000000001</v>
      </c>
      <c r="E112" s="57">
        <v>0.68</v>
      </c>
      <c r="F112" s="57">
        <v>0.54</v>
      </c>
      <c r="G112" s="57">
        <v>4</v>
      </c>
      <c r="H112" s="141" t="s">
        <v>44</v>
      </c>
      <c r="I112" s="61"/>
      <c r="J112" s="61"/>
      <c r="K112" s="61"/>
      <c r="L112" s="61"/>
      <c r="M112" s="61"/>
      <c r="N112" s="61"/>
      <c r="O112" s="61"/>
      <c r="P112" s="61"/>
      <c r="Q112" s="61">
        <v>80420020161</v>
      </c>
      <c r="R112" s="61">
        <v>80420020161</v>
      </c>
    </row>
    <row r="113" spans="1:18" s="1" customFormat="1" ht="11.25" x14ac:dyDescent="0.2">
      <c r="A113" s="133"/>
      <c r="B113" s="125"/>
      <c r="C113" s="113" t="s">
        <v>3</v>
      </c>
      <c r="D113" s="143">
        <f>E112</f>
        <v>0.68</v>
      </c>
      <c r="E113" s="144">
        <f>D113+0.4</f>
        <v>1.08</v>
      </c>
      <c r="F113" s="144">
        <f>E113-D113</f>
        <v>0.4</v>
      </c>
      <c r="G113" s="137">
        <v>3</v>
      </c>
      <c r="H113" s="141" t="s">
        <v>44</v>
      </c>
      <c r="I113" s="145"/>
      <c r="J113" s="145"/>
      <c r="K113" s="145"/>
      <c r="L113" s="145"/>
      <c r="M113" s="145"/>
      <c r="N113" s="145"/>
      <c r="O113" s="145"/>
      <c r="P113" s="145"/>
      <c r="Q113" s="139" t="s">
        <v>49</v>
      </c>
      <c r="R113" s="142">
        <v>80420020255</v>
      </c>
    </row>
    <row r="114" spans="1:18" s="1" customFormat="1" ht="11.25" x14ac:dyDescent="0.2">
      <c r="A114" s="133"/>
      <c r="B114" s="125"/>
      <c r="C114" s="113" t="s">
        <v>3</v>
      </c>
      <c r="D114" s="143">
        <v>1.08</v>
      </c>
      <c r="E114" s="144">
        <v>1.18</v>
      </c>
      <c r="F114" s="144">
        <v>0.1</v>
      </c>
      <c r="G114" s="137">
        <v>3</v>
      </c>
      <c r="H114" s="141" t="s">
        <v>44</v>
      </c>
      <c r="I114" s="145"/>
      <c r="J114" s="145"/>
      <c r="K114" s="145"/>
      <c r="L114" s="145"/>
      <c r="M114" s="145"/>
      <c r="N114" s="145"/>
      <c r="O114" s="145"/>
      <c r="P114" s="145"/>
      <c r="Q114" s="139" t="s">
        <v>49</v>
      </c>
      <c r="R114" s="146">
        <v>80420020095</v>
      </c>
    </row>
    <row r="115" spans="1:18" s="1" customFormat="1" ht="11.25" x14ac:dyDescent="0.2">
      <c r="A115" s="133"/>
      <c r="B115" s="125"/>
      <c r="C115" s="113" t="s">
        <v>3</v>
      </c>
      <c r="D115" s="57">
        <v>1.18</v>
      </c>
      <c r="E115" s="57">
        <v>1.54</v>
      </c>
      <c r="F115" s="57">
        <v>0.36</v>
      </c>
      <c r="G115" s="57">
        <v>3</v>
      </c>
      <c r="H115" s="141" t="s">
        <v>44</v>
      </c>
      <c r="I115" s="61"/>
      <c r="J115" s="61"/>
      <c r="K115" s="61"/>
      <c r="L115" s="61"/>
      <c r="M115" s="61"/>
      <c r="N115" s="61"/>
      <c r="O115" s="61"/>
      <c r="P115" s="61"/>
      <c r="Q115" s="61">
        <v>80420020161</v>
      </c>
      <c r="R115" s="61">
        <v>80420020180</v>
      </c>
    </row>
    <row r="116" spans="1:18" s="1" customFormat="1" ht="11.25" x14ac:dyDescent="0.2">
      <c r="A116" s="133"/>
      <c r="B116" s="125"/>
      <c r="C116" s="113" t="s">
        <v>3</v>
      </c>
      <c r="D116" s="147">
        <f>E115</f>
        <v>1.54</v>
      </c>
      <c r="E116" s="148">
        <f>D116+0.2</f>
        <v>1.74</v>
      </c>
      <c r="F116" s="148">
        <v>0.2</v>
      </c>
      <c r="G116" s="137">
        <v>3</v>
      </c>
      <c r="H116" s="141" t="s">
        <v>44</v>
      </c>
      <c r="I116" s="149"/>
      <c r="J116" s="149"/>
      <c r="K116" s="149"/>
      <c r="L116" s="149"/>
      <c r="M116" s="149"/>
      <c r="N116" s="149"/>
      <c r="O116" s="149"/>
      <c r="P116" s="149"/>
      <c r="Q116" s="139" t="s">
        <v>49</v>
      </c>
      <c r="R116" s="142">
        <v>80420020009</v>
      </c>
    </row>
    <row r="117" spans="1:18" s="1" customFormat="1" ht="11.25" x14ac:dyDescent="0.2">
      <c r="A117" s="133"/>
      <c r="B117" s="125" t="s">
        <v>89</v>
      </c>
      <c r="C117" s="113" t="s">
        <v>3</v>
      </c>
      <c r="D117" s="57">
        <v>1.74</v>
      </c>
      <c r="E117" s="57">
        <v>2.16</v>
      </c>
      <c r="F117" s="57">
        <v>0.42</v>
      </c>
      <c r="G117" s="57">
        <v>3</v>
      </c>
      <c r="H117" s="128" t="s">
        <v>44</v>
      </c>
      <c r="I117" s="61"/>
      <c r="J117" s="61"/>
      <c r="K117" s="61"/>
      <c r="L117" s="61"/>
      <c r="M117" s="61"/>
      <c r="N117" s="61"/>
      <c r="O117" s="61"/>
      <c r="P117" s="61"/>
      <c r="Q117" s="61">
        <v>80420020250</v>
      </c>
      <c r="R117" s="61">
        <v>80420020249</v>
      </c>
    </row>
    <row r="118" spans="1:18" s="1" customFormat="1" ht="11.25" x14ac:dyDescent="0.2">
      <c r="A118" s="133"/>
      <c r="B118" s="125" t="s">
        <v>89</v>
      </c>
      <c r="C118" s="113" t="s">
        <v>3</v>
      </c>
      <c r="D118" s="57">
        <v>2.16</v>
      </c>
      <c r="E118" s="57">
        <v>2.95</v>
      </c>
      <c r="F118" s="57">
        <v>0.79</v>
      </c>
      <c r="G118" s="57">
        <v>3</v>
      </c>
      <c r="H118" s="128" t="s">
        <v>46</v>
      </c>
      <c r="I118" s="61"/>
      <c r="J118" s="61"/>
      <c r="K118" s="61"/>
      <c r="L118" s="61"/>
      <c r="M118" s="61"/>
      <c r="N118" s="61"/>
      <c r="O118" s="61"/>
      <c r="P118" s="61"/>
      <c r="Q118" s="61">
        <v>80420020161</v>
      </c>
      <c r="R118" s="61">
        <v>80420020248</v>
      </c>
    </row>
    <row r="119" spans="1:18" s="1" customFormat="1" ht="11.25" x14ac:dyDescent="0.2">
      <c r="A119" s="130">
        <v>6</v>
      </c>
      <c r="B119" s="112" t="s">
        <v>113</v>
      </c>
      <c r="C119" s="113" t="s">
        <v>4</v>
      </c>
      <c r="D119" s="57">
        <v>0</v>
      </c>
      <c r="E119" s="57">
        <v>0.28999999999999998</v>
      </c>
      <c r="F119" s="57">
        <v>0.28999999999999998</v>
      </c>
      <c r="G119" s="57">
        <v>3</v>
      </c>
      <c r="H119" s="128" t="s">
        <v>44</v>
      </c>
      <c r="I119" s="61"/>
      <c r="J119" s="61"/>
      <c r="K119" s="61"/>
      <c r="L119" s="61"/>
      <c r="M119" s="61"/>
      <c r="N119" s="61"/>
      <c r="O119" s="61"/>
      <c r="P119" s="61"/>
      <c r="Q119" s="61">
        <v>80420020163</v>
      </c>
      <c r="R119" s="61">
        <v>80420020222</v>
      </c>
    </row>
    <row r="120" spans="1:18" s="1" customFormat="1" ht="11.25" x14ac:dyDescent="0.2">
      <c r="A120" s="133"/>
      <c r="B120" s="125"/>
      <c r="C120" s="113" t="s">
        <v>4</v>
      </c>
      <c r="D120" s="143">
        <f>E119</f>
        <v>0.28999999999999998</v>
      </c>
      <c r="E120" s="144">
        <v>0.47</v>
      </c>
      <c r="F120" s="144">
        <f>E120-D120</f>
        <v>0.18</v>
      </c>
      <c r="G120" s="144">
        <v>3</v>
      </c>
      <c r="H120" s="150" t="s">
        <v>44</v>
      </c>
      <c r="I120" s="145"/>
      <c r="J120" s="145"/>
      <c r="K120" s="145"/>
      <c r="L120" s="145"/>
      <c r="M120" s="145"/>
      <c r="N120" s="145"/>
      <c r="O120" s="145"/>
      <c r="P120" s="145"/>
      <c r="Q120" s="139" t="s">
        <v>49</v>
      </c>
      <c r="R120" s="140">
        <v>80420020097</v>
      </c>
    </row>
    <row r="121" spans="1:18" s="1" customFormat="1" ht="11.25" x14ac:dyDescent="0.2">
      <c r="A121" s="133"/>
      <c r="B121" s="125" t="s">
        <v>89</v>
      </c>
      <c r="C121" s="113" t="s">
        <v>4</v>
      </c>
      <c r="D121" s="57">
        <v>0.47</v>
      </c>
      <c r="E121" s="57">
        <v>1.1599999999999999</v>
      </c>
      <c r="F121" s="57">
        <v>0.69</v>
      </c>
      <c r="G121" s="57">
        <v>3</v>
      </c>
      <c r="H121" s="128" t="s">
        <v>44</v>
      </c>
      <c r="I121" s="61"/>
      <c r="J121" s="61"/>
      <c r="K121" s="61"/>
      <c r="L121" s="61"/>
      <c r="M121" s="61"/>
      <c r="N121" s="61"/>
      <c r="O121" s="61"/>
      <c r="P121" s="61"/>
      <c r="Q121" s="61">
        <v>80420020163</v>
      </c>
      <c r="R121" s="61">
        <v>80420020182</v>
      </c>
    </row>
    <row r="122" spans="1:18" s="1" customFormat="1" ht="11.25" x14ac:dyDescent="0.2">
      <c r="A122" s="133"/>
      <c r="B122" s="125"/>
      <c r="C122" s="113" t="s">
        <v>4</v>
      </c>
      <c r="D122" s="151">
        <f>E121</f>
        <v>1.1599999999999999</v>
      </c>
      <c r="E122" s="144">
        <v>1.21</v>
      </c>
      <c r="F122" s="144">
        <f>E122-D122</f>
        <v>5.0000000000000044E-2</v>
      </c>
      <c r="G122" s="144">
        <v>3</v>
      </c>
      <c r="H122" s="150" t="s">
        <v>44</v>
      </c>
      <c r="I122" s="152"/>
      <c r="J122" s="152"/>
      <c r="K122" s="152"/>
      <c r="L122" s="152"/>
      <c r="M122" s="152"/>
      <c r="N122" s="152"/>
      <c r="O122" s="152"/>
      <c r="P122" s="152"/>
      <c r="Q122" s="139" t="s">
        <v>49</v>
      </c>
      <c r="R122" s="142">
        <v>80420020030</v>
      </c>
    </row>
    <row r="123" spans="1:18" s="1" customFormat="1" ht="11.25" x14ac:dyDescent="0.2">
      <c r="A123" s="129"/>
      <c r="B123" s="120" t="s">
        <v>89</v>
      </c>
      <c r="C123" s="113" t="s">
        <v>4</v>
      </c>
      <c r="D123" s="57">
        <v>1.21</v>
      </c>
      <c r="E123" s="57">
        <v>2.06</v>
      </c>
      <c r="F123" s="57">
        <v>0.85</v>
      </c>
      <c r="G123" s="57">
        <v>3</v>
      </c>
      <c r="H123" s="128" t="s">
        <v>44</v>
      </c>
      <c r="I123" s="61"/>
      <c r="J123" s="61"/>
      <c r="K123" s="61"/>
      <c r="L123" s="61"/>
      <c r="M123" s="61"/>
      <c r="N123" s="61"/>
      <c r="O123" s="61"/>
      <c r="P123" s="61"/>
      <c r="Q123" s="61">
        <v>80420020163</v>
      </c>
      <c r="R123" s="61">
        <v>80420020163</v>
      </c>
    </row>
    <row r="124" spans="1:18" s="1" customFormat="1" ht="11.25" x14ac:dyDescent="0.2">
      <c r="A124" s="133">
        <v>7</v>
      </c>
      <c r="B124" s="125" t="s">
        <v>114</v>
      </c>
      <c r="C124" s="113" t="s">
        <v>3</v>
      </c>
      <c r="D124" s="57">
        <v>0</v>
      </c>
      <c r="E124" s="57">
        <v>1.1499999999999999</v>
      </c>
      <c r="F124" s="57">
        <v>1.1499999999999999</v>
      </c>
      <c r="G124" s="57">
        <v>6</v>
      </c>
      <c r="H124" s="128" t="s">
        <v>44</v>
      </c>
      <c r="I124" s="61"/>
      <c r="J124" s="61"/>
      <c r="K124" s="61"/>
      <c r="L124" s="61"/>
      <c r="M124" s="61"/>
      <c r="N124" s="61"/>
      <c r="O124" s="61"/>
      <c r="P124" s="61"/>
      <c r="Q124" s="61">
        <v>80420020156</v>
      </c>
      <c r="R124" s="61">
        <v>80420020156</v>
      </c>
    </row>
    <row r="125" spans="1:18" s="1" customFormat="1" ht="11.25" x14ac:dyDescent="0.2">
      <c r="A125" s="133"/>
      <c r="B125" s="125" t="s">
        <v>89</v>
      </c>
      <c r="C125" s="113" t="s">
        <v>3</v>
      </c>
      <c r="D125" s="57">
        <v>1.1499999999999999</v>
      </c>
      <c r="E125" s="57">
        <v>1.9</v>
      </c>
      <c r="F125" s="57">
        <v>0.75</v>
      </c>
      <c r="G125" s="57">
        <v>4.5</v>
      </c>
      <c r="H125" s="128" t="s">
        <v>44</v>
      </c>
      <c r="I125" s="61"/>
      <c r="J125" s="61"/>
      <c r="K125" s="61"/>
      <c r="L125" s="61"/>
      <c r="M125" s="61"/>
      <c r="N125" s="61"/>
      <c r="O125" s="61"/>
      <c r="P125" s="61"/>
      <c r="Q125" s="61">
        <v>80420020156</v>
      </c>
      <c r="R125" s="61">
        <v>80420020156</v>
      </c>
    </row>
    <row r="126" spans="1:18" s="1" customFormat="1" ht="11.25" x14ac:dyDescent="0.2">
      <c r="A126" s="153">
        <v>8</v>
      </c>
      <c r="B126" s="76" t="s">
        <v>115</v>
      </c>
      <c r="C126" s="113" t="s">
        <v>4</v>
      </c>
      <c r="D126" s="57">
        <v>0</v>
      </c>
      <c r="E126" s="57">
        <v>0.82</v>
      </c>
      <c r="F126" s="57">
        <v>0.82</v>
      </c>
      <c r="G126" s="57">
        <v>4</v>
      </c>
      <c r="H126" s="128" t="s">
        <v>44</v>
      </c>
      <c r="I126" s="61"/>
      <c r="J126" s="61"/>
      <c r="K126" s="61"/>
      <c r="L126" s="61"/>
      <c r="M126" s="61"/>
      <c r="N126" s="61"/>
      <c r="O126" s="61"/>
      <c r="P126" s="61"/>
      <c r="Q126" s="61">
        <v>80420020162</v>
      </c>
      <c r="R126" s="61">
        <v>80420020162</v>
      </c>
    </row>
    <row r="127" spans="1:18" s="1" customFormat="1" ht="22.5" x14ac:dyDescent="0.2">
      <c r="A127" s="133">
        <v>9</v>
      </c>
      <c r="B127" s="125" t="s">
        <v>116</v>
      </c>
      <c r="C127" s="113" t="s">
        <v>4</v>
      </c>
      <c r="D127" s="57">
        <v>0</v>
      </c>
      <c r="E127" s="57">
        <v>1.43</v>
      </c>
      <c r="F127" s="57">
        <v>1.43</v>
      </c>
      <c r="G127" s="57">
        <v>4</v>
      </c>
      <c r="H127" s="128" t="s">
        <v>44</v>
      </c>
      <c r="I127" s="61"/>
      <c r="J127" s="61"/>
      <c r="K127" s="61"/>
      <c r="L127" s="61"/>
      <c r="M127" s="61"/>
      <c r="N127" s="61"/>
      <c r="O127" s="61"/>
      <c r="P127" s="61"/>
      <c r="Q127" s="61">
        <v>80420040257</v>
      </c>
      <c r="R127" s="61">
        <v>80420040257</v>
      </c>
    </row>
    <row r="128" spans="1:18" s="1" customFormat="1" ht="11.25" x14ac:dyDescent="0.2">
      <c r="A128" s="133"/>
      <c r="B128" s="125" t="s">
        <v>89</v>
      </c>
      <c r="C128" s="113" t="s">
        <v>4</v>
      </c>
      <c r="D128" s="57">
        <v>1.43</v>
      </c>
      <c r="E128" s="57">
        <v>2.73</v>
      </c>
      <c r="F128" s="57">
        <v>1.3</v>
      </c>
      <c r="G128" s="57">
        <v>4</v>
      </c>
      <c r="H128" s="128" t="s">
        <v>44</v>
      </c>
      <c r="I128" s="61"/>
      <c r="J128" s="61"/>
      <c r="K128" s="61"/>
      <c r="L128" s="61"/>
      <c r="M128" s="61"/>
      <c r="N128" s="61"/>
      <c r="O128" s="61"/>
      <c r="P128" s="61"/>
      <c r="Q128" s="61">
        <v>80420040257</v>
      </c>
      <c r="R128" s="61">
        <v>80420020160</v>
      </c>
    </row>
    <row r="129" spans="1:18" s="1" customFormat="1" ht="11.25" x14ac:dyDescent="0.2">
      <c r="A129" s="133"/>
      <c r="B129" s="125" t="s">
        <v>89</v>
      </c>
      <c r="C129" s="113" t="s">
        <v>4</v>
      </c>
      <c r="D129" s="57">
        <v>2.73</v>
      </c>
      <c r="E129" s="57">
        <v>2.79</v>
      </c>
      <c r="F129" s="57">
        <v>0.06</v>
      </c>
      <c r="G129" s="57">
        <v>5</v>
      </c>
      <c r="H129" s="128" t="s">
        <v>59</v>
      </c>
      <c r="I129" s="61"/>
      <c r="J129" s="61"/>
      <c r="K129" s="61"/>
      <c r="L129" s="61"/>
      <c r="M129" s="61"/>
      <c r="N129" s="61"/>
      <c r="O129" s="61"/>
      <c r="P129" s="61"/>
      <c r="Q129" s="61">
        <v>80420040257</v>
      </c>
      <c r="R129" s="61">
        <v>80420020160</v>
      </c>
    </row>
    <row r="130" spans="1:18" s="1" customFormat="1" ht="11.25" x14ac:dyDescent="0.2">
      <c r="A130" s="130">
        <v>10</v>
      </c>
      <c r="B130" s="112" t="s">
        <v>117</v>
      </c>
      <c r="C130" s="113" t="s">
        <v>4</v>
      </c>
      <c r="D130" s="57">
        <v>0</v>
      </c>
      <c r="E130" s="57">
        <v>0.53</v>
      </c>
      <c r="F130" s="57">
        <v>0.53</v>
      </c>
      <c r="G130" s="57">
        <v>4</v>
      </c>
      <c r="H130" s="128" t="s">
        <v>44</v>
      </c>
      <c r="I130" s="61"/>
      <c r="J130" s="61"/>
      <c r="K130" s="61"/>
      <c r="L130" s="61"/>
      <c r="M130" s="61"/>
      <c r="N130" s="61"/>
      <c r="O130" s="61"/>
      <c r="P130" s="61"/>
      <c r="Q130" s="61">
        <v>80420040253</v>
      </c>
      <c r="R130" s="61">
        <v>80420040253</v>
      </c>
    </row>
    <row r="131" spans="1:18" s="1" customFormat="1" ht="11.25" x14ac:dyDescent="0.2">
      <c r="A131" s="133"/>
      <c r="B131" s="125"/>
      <c r="C131" s="113" t="s">
        <v>4</v>
      </c>
      <c r="D131" s="136">
        <f>F130</f>
        <v>0.53</v>
      </c>
      <c r="E131" s="137">
        <v>0.96</v>
      </c>
      <c r="F131" s="137">
        <f>E131-D131</f>
        <v>0.42999999999999994</v>
      </c>
      <c r="G131" s="137">
        <v>4</v>
      </c>
      <c r="H131" s="150" t="s">
        <v>44</v>
      </c>
      <c r="I131" s="115"/>
      <c r="J131" s="115"/>
      <c r="K131" s="115"/>
      <c r="L131" s="115"/>
      <c r="M131" s="115"/>
      <c r="N131" s="115"/>
      <c r="O131" s="115"/>
      <c r="P131" s="115"/>
      <c r="Q131" s="139" t="s">
        <v>49</v>
      </c>
      <c r="R131" s="140">
        <v>80420040012</v>
      </c>
    </row>
    <row r="132" spans="1:18" s="1" customFormat="1" ht="11.25" x14ac:dyDescent="0.2">
      <c r="A132" s="129"/>
      <c r="B132" s="120" t="s">
        <v>89</v>
      </c>
      <c r="C132" s="113" t="s">
        <v>4</v>
      </c>
      <c r="D132" s="57">
        <v>0.96</v>
      </c>
      <c r="E132" s="57">
        <v>1.6099999999999999</v>
      </c>
      <c r="F132" s="57">
        <v>0.65</v>
      </c>
      <c r="G132" s="57">
        <v>4</v>
      </c>
      <c r="H132" s="128" t="s">
        <v>44</v>
      </c>
      <c r="I132" s="61"/>
      <c r="J132" s="61"/>
      <c r="K132" s="61"/>
      <c r="L132" s="61"/>
      <c r="M132" s="61"/>
      <c r="N132" s="61"/>
      <c r="O132" s="61"/>
      <c r="P132" s="61"/>
      <c r="Q132" s="61">
        <v>80420040253</v>
      </c>
      <c r="R132" s="61">
        <v>80420040289</v>
      </c>
    </row>
    <row r="133" spans="1:18" s="1" customFormat="1" ht="11.25" x14ac:dyDescent="0.2">
      <c r="A133" s="153">
        <v>11</v>
      </c>
      <c r="B133" s="76" t="s">
        <v>118</v>
      </c>
      <c r="C133" s="113" t="s">
        <v>3</v>
      </c>
      <c r="D133" s="57">
        <v>0</v>
      </c>
      <c r="E133" s="57">
        <v>0.86</v>
      </c>
      <c r="F133" s="57">
        <v>0.86</v>
      </c>
      <c r="G133" s="57">
        <v>4</v>
      </c>
      <c r="H133" s="128" t="s">
        <v>44</v>
      </c>
      <c r="I133" s="61"/>
      <c r="J133" s="61"/>
      <c r="K133" s="61"/>
      <c r="L133" s="61"/>
      <c r="M133" s="61"/>
      <c r="N133" s="61"/>
      <c r="O133" s="61"/>
      <c r="P133" s="61"/>
      <c r="Q133" s="61">
        <v>80420040254</v>
      </c>
      <c r="R133" s="61">
        <v>80420040254</v>
      </c>
    </row>
    <row r="134" spans="1:18" s="1" customFormat="1" ht="11.25" x14ac:dyDescent="0.2">
      <c r="A134" s="133">
        <v>12</v>
      </c>
      <c r="B134" s="125" t="s">
        <v>119</v>
      </c>
      <c r="C134" s="113" t="s">
        <v>4</v>
      </c>
      <c r="D134" s="57">
        <v>0</v>
      </c>
      <c r="E134" s="57">
        <v>0.05</v>
      </c>
      <c r="F134" s="57">
        <v>0.05</v>
      </c>
      <c r="G134" s="57">
        <v>6</v>
      </c>
      <c r="H134" s="128" t="s">
        <v>59</v>
      </c>
      <c r="I134" s="61"/>
      <c r="J134" s="61"/>
      <c r="K134" s="61"/>
      <c r="L134" s="61"/>
      <c r="M134" s="61"/>
      <c r="N134" s="61"/>
      <c r="O134" s="61"/>
      <c r="P134" s="61"/>
      <c r="Q134" s="61">
        <v>80420040256</v>
      </c>
      <c r="R134" s="61">
        <v>80420040256</v>
      </c>
    </row>
    <row r="135" spans="1:18" s="1" customFormat="1" ht="11.25" x14ac:dyDescent="0.2">
      <c r="A135" s="133"/>
      <c r="B135" s="125" t="s">
        <v>89</v>
      </c>
      <c r="C135" s="113" t="s">
        <v>4</v>
      </c>
      <c r="D135" s="57">
        <v>0.05</v>
      </c>
      <c r="E135" s="57">
        <v>0.42</v>
      </c>
      <c r="F135" s="57">
        <v>0.37</v>
      </c>
      <c r="G135" s="57">
        <v>6</v>
      </c>
      <c r="H135" s="128" t="s">
        <v>44</v>
      </c>
      <c r="I135" s="61"/>
      <c r="J135" s="61"/>
      <c r="K135" s="61"/>
      <c r="L135" s="61"/>
      <c r="M135" s="61"/>
      <c r="N135" s="61"/>
      <c r="O135" s="61"/>
      <c r="P135" s="61"/>
      <c r="Q135" s="61">
        <v>80420040256</v>
      </c>
      <c r="R135" s="61">
        <v>80420040256</v>
      </c>
    </row>
    <row r="136" spans="1:18" s="1" customFormat="1" ht="11.25" x14ac:dyDescent="0.2">
      <c r="A136" s="133"/>
      <c r="B136" s="125" t="s">
        <v>89</v>
      </c>
      <c r="C136" s="113" t="s">
        <v>4</v>
      </c>
      <c r="D136" s="57">
        <v>0.42</v>
      </c>
      <c r="E136" s="57">
        <v>0.72</v>
      </c>
      <c r="F136" s="57">
        <v>0.3</v>
      </c>
      <c r="G136" s="57">
        <v>6</v>
      </c>
      <c r="H136" s="128" t="s">
        <v>59</v>
      </c>
      <c r="I136" s="61"/>
      <c r="J136" s="61"/>
      <c r="K136" s="61"/>
      <c r="L136" s="61"/>
      <c r="M136" s="61"/>
      <c r="N136" s="61"/>
      <c r="O136" s="61"/>
      <c r="P136" s="61"/>
      <c r="Q136" s="61">
        <v>80420040256</v>
      </c>
      <c r="R136" s="61">
        <v>80420040256</v>
      </c>
    </row>
    <row r="137" spans="1:18" s="1" customFormat="1" ht="11.25" x14ac:dyDescent="0.2">
      <c r="A137" s="133"/>
      <c r="B137" s="125" t="s">
        <v>89</v>
      </c>
      <c r="C137" s="113" t="s">
        <v>4</v>
      </c>
      <c r="D137" s="57">
        <v>0.72</v>
      </c>
      <c r="E137" s="57">
        <v>3.46</v>
      </c>
      <c r="F137" s="57">
        <v>2.74</v>
      </c>
      <c r="G137" s="57">
        <v>4.5</v>
      </c>
      <c r="H137" s="128" t="s">
        <v>44</v>
      </c>
      <c r="I137" s="61"/>
      <c r="J137" s="61"/>
      <c r="K137" s="61"/>
      <c r="L137" s="61"/>
      <c r="M137" s="61"/>
      <c r="N137" s="61"/>
      <c r="O137" s="61"/>
      <c r="P137" s="61"/>
      <c r="Q137" s="61">
        <v>80420040256</v>
      </c>
      <c r="R137" s="61">
        <v>80420040256</v>
      </c>
    </row>
    <row r="138" spans="1:18" s="1" customFormat="1" ht="11.25" x14ac:dyDescent="0.2">
      <c r="A138" s="133"/>
      <c r="B138" s="154" t="s">
        <v>120</v>
      </c>
      <c r="C138" s="113" t="s">
        <v>4</v>
      </c>
      <c r="D138" s="57">
        <v>0</v>
      </c>
      <c r="E138" s="57">
        <v>0.11</v>
      </c>
      <c r="F138" s="57">
        <v>0.11</v>
      </c>
      <c r="G138" s="57">
        <v>6</v>
      </c>
      <c r="H138" s="128" t="s">
        <v>59</v>
      </c>
      <c r="I138" s="61"/>
      <c r="J138" s="61"/>
      <c r="K138" s="61"/>
      <c r="L138" s="61"/>
      <c r="M138" s="61"/>
      <c r="N138" s="61"/>
      <c r="O138" s="61"/>
      <c r="P138" s="61"/>
      <c r="Q138" s="61">
        <v>80420040256</v>
      </c>
      <c r="R138" s="61">
        <v>80420040256</v>
      </c>
    </row>
    <row r="139" spans="1:18" s="1" customFormat="1" ht="11.25" x14ac:dyDescent="0.2">
      <c r="A139" s="52">
        <v>13</v>
      </c>
      <c r="B139" s="70" t="s">
        <v>121</v>
      </c>
      <c r="C139" s="113" t="s">
        <v>4</v>
      </c>
      <c r="D139" s="57">
        <v>0</v>
      </c>
      <c r="E139" s="57">
        <v>0.74</v>
      </c>
      <c r="F139" s="57">
        <v>0.74</v>
      </c>
      <c r="G139" s="57">
        <v>4</v>
      </c>
      <c r="H139" s="128" t="s">
        <v>44</v>
      </c>
      <c r="I139" s="61"/>
      <c r="J139" s="61"/>
      <c r="K139" s="61"/>
      <c r="L139" s="61"/>
      <c r="M139" s="61"/>
      <c r="N139" s="61"/>
      <c r="O139" s="61"/>
      <c r="P139" s="61"/>
      <c r="Q139" s="61">
        <v>80420040261</v>
      </c>
      <c r="R139" s="61">
        <v>80420040261</v>
      </c>
    </row>
    <row r="140" spans="1:18" s="1" customFormat="1" ht="11.25" x14ac:dyDescent="0.2">
      <c r="A140" s="67"/>
      <c r="B140" s="119"/>
      <c r="C140" s="113" t="s">
        <v>4</v>
      </c>
      <c r="D140" s="132">
        <f>E139</f>
        <v>0.74</v>
      </c>
      <c r="E140" s="57">
        <f>D140+F140</f>
        <v>0.88</v>
      </c>
      <c r="F140" s="57">
        <v>0.14000000000000001</v>
      </c>
      <c r="G140" s="57">
        <v>4</v>
      </c>
      <c r="H140" s="128" t="s">
        <v>44</v>
      </c>
      <c r="I140" s="61"/>
      <c r="J140" s="61"/>
      <c r="K140" s="61"/>
      <c r="L140" s="61"/>
      <c r="M140" s="61"/>
      <c r="N140" s="61"/>
      <c r="O140" s="61"/>
      <c r="P140" s="61"/>
      <c r="Q140" s="139" t="s">
        <v>49</v>
      </c>
      <c r="R140" s="140">
        <v>80420040100</v>
      </c>
    </row>
    <row r="141" spans="1:18" s="1" customFormat="1" ht="22.5" x14ac:dyDescent="0.2">
      <c r="A141" s="133">
        <v>14</v>
      </c>
      <c r="B141" s="125" t="s">
        <v>122</v>
      </c>
      <c r="C141" s="113" t="s">
        <v>3</v>
      </c>
      <c r="D141" s="57">
        <v>0</v>
      </c>
      <c r="E141" s="57">
        <v>1.1200000000000001</v>
      </c>
      <c r="F141" s="57">
        <v>1.1200000000000001</v>
      </c>
      <c r="G141" s="57">
        <v>7.5</v>
      </c>
      <c r="H141" s="128" t="s">
        <v>44</v>
      </c>
      <c r="I141" s="61"/>
      <c r="J141" s="61"/>
      <c r="K141" s="61"/>
      <c r="L141" s="61"/>
      <c r="M141" s="61"/>
      <c r="N141" s="61"/>
      <c r="O141" s="61"/>
      <c r="P141" s="61"/>
      <c r="Q141" s="61">
        <v>80420040259</v>
      </c>
      <c r="R141" s="61">
        <v>80420040259</v>
      </c>
    </row>
    <row r="142" spans="1:18" s="1" customFormat="1" ht="11.25" x14ac:dyDescent="0.2">
      <c r="A142" s="133"/>
      <c r="B142" s="125" t="s">
        <v>89</v>
      </c>
      <c r="C142" s="113" t="s">
        <v>3</v>
      </c>
      <c r="D142" s="57">
        <v>1.1200000000000001</v>
      </c>
      <c r="E142" s="57">
        <v>3.77</v>
      </c>
      <c r="F142" s="57">
        <v>2.65</v>
      </c>
      <c r="G142" s="57">
        <v>4.5</v>
      </c>
      <c r="H142" s="128" t="s">
        <v>44</v>
      </c>
      <c r="I142" s="61"/>
      <c r="J142" s="61"/>
      <c r="K142" s="61"/>
      <c r="L142" s="61"/>
      <c r="M142" s="61"/>
      <c r="N142" s="61"/>
      <c r="O142" s="61"/>
      <c r="P142" s="61"/>
      <c r="Q142" s="61">
        <v>80420040259</v>
      </c>
      <c r="R142" s="61">
        <v>80420040259</v>
      </c>
    </row>
    <row r="143" spans="1:18" s="1" customFormat="1" ht="11.25" x14ac:dyDescent="0.2">
      <c r="A143" s="133"/>
      <c r="B143" s="125"/>
      <c r="C143" s="113" t="s">
        <v>3</v>
      </c>
      <c r="D143" s="57">
        <v>3.77</v>
      </c>
      <c r="E143" s="57">
        <v>4</v>
      </c>
      <c r="F143" s="57">
        <v>0.22999999999999998</v>
      </c>
      <c r="G143" s="57">
        <v>4.5</v>
      </c>
      <c r="H143" s="128" t="s">
        <v>44</v>
      </c>
      <c r="I143" s="61"/>
      <c r="J143" s="61"/>
      <c r="K143" s="61"/>
      <c r="L143" s="61"/>
      <c r="M143" s="61"/>
      <c r="N143" s="61"/>
      <c r="O143" s="61"/>
      <c r="P143" s="61"/>
      <c r="Q143" s="61">
        <v>80740010443</v>
      </c>
      <c r="R143" s="61">
        <v>80740010443</v>
      </c>
    </row>
    <row r="144" spans="1:18" s="1" customFormat="1" ht="11.25" x14ac:dyDescent="0.2">
      <c r="A144" s="133"/>
      <c r="B144" s="125" t="s">
        <v>89</v>
      </c>
      <c r="C144" s="113" t="s">
        <v>3</v>
      </c>
      <c r="D144" s="57">
        <v>4</v>
      </c>
      <c r="E144" s="57">
        <v>6.48</v>
      </c>
      <c r="F144" s="57">
        <v>2.48</v>
      </c>
      <c r="G144" s="57">
        <v>4.5</v>
      </c>
      <c r="H144" s="128" t="s">
        <v>44</v>
      </c>
      <c r="I144" s="61"/>
      <c r="J144" s="61"/>
      <c r="K144" s="61"/>
      <c r="L144" s="61"/>
      <c r="M144" s="61"/>
      <c r="N144" s="61"/>
      <c r="O144" s="61"/>
      <c r="P144" s="61"/>
      <c r="Q144" s="61">
        <v>80420040259</v>
      </c>
      <c r="R144" s="61">
        <v>80420080122</v>
      </c>
    </row>
    <row r="145" spans="1:18" s="1" customFormat="1" ht="11.25" x14ac:dyDescent="0.2">
      <c r="A145" s="130">
        <v>15</v>
      </c>
      <c r="B145" s="112" t="s">
        <v>123</v>
      </c>
      <c r="C145" s="113" t="s">
        <v>4</v>
      </c>
      <c r="D145" s="57">
        <v>0</v>
      </c>
      <c r="E145" s="57">
        <v>0.8</v>
      </c>
      <c r="F145" s="57">
        <v>0.8</v>
      </c>
      <c r="G145" s="57">
        <v>4</v>
      </c>
      <c r="H145" s="128" t="s">
        <v>44</v>
      </c>
      <c r="I145" s="61"/>
      <c r="J145" s="61"/>
      <c r="K145" s="61"/>
      <c r="L145" s="61"/>
      <c r="M145" s="61"/>
      <c r="N145" s="61"/>
      <c r="O145" s="61"/>
      <c r="P145" s="61"/>
      <c r="Q145" s="61">
        <v>80420080125</v>
      </c>
      <c r="R145" s="61">
        <v>80420080125</v>
      </c>
    </row>
    <row r="146" spans="1:18" s="1" customFormat="1" ht="11.25" x14ac:dyDescent="0.2">
      <c r="A146" s="129"/>
      <c r="B146" s="120" t="s">
        <v>89</v>
      </c>
      <c r="C146" s="113" t="s">
        <v>4</v>
      </c>
      <c r="D146" s="57">
        <v>0.8</v>
      </c>
      <c r="E146" s="57">
        <v>1.32</v>
      </c>
      <c r="F146" s="57">
        <v>0.52</v>
      </c>
      <c r="G146" s="57">
        <v>4</v>
      </c>
      <c r="H146" s="128" t="s">
        <v>44</v>
      </c>
      <c r="I146" s="61"/>
      <c r="J146" s="61"/>
      <c r="K146" s="61"/>
      <c r="L146" s="61"/>
      <c r="M146" s="61"/>
      <c r="N146" s="61"/>
      <c r="O146" s="61"/>
      <c r="P146" s="61"/>
      <c r="Q146" s="61">
        <v>80420080125</v>
      </c>
      <c r="R146" s="61">
        <v>80420070161</v>
      </c>
    </row>
    <row r="147" spans="1:18" s="1" customFormat="1" ht="11.25" x14ac:dyDescent="0.2">
      <c r="A147" s="133">
        <v>16</v>
      </c>
      <c r="B147" s="125" t="s">
        <v>124</v>
      </c>
      <c r="C147" s="113" t="s">
        <v>4</v>
      </c>
      <c r="D147" s="57">
        <v>0</v>
      </c>
      <c r="E147" s="57">
        <v>0.84</v>
      </c>
      <c r="F147" s="57">
        <v>0.84</v>
      </c>
      <c r="G147" s="57">
        <v>4</v>
      </c>
      <c r="H147" s="128" t="s">
        <v>44</v>
      </c>
      <c r="I147" s="61"/>
      <c r="J147" s="61"/>
      <c r="K147" s="61"/>
      <c r="L147" s="61"/>
      <c r="M147" s="61"/>
      <c r="N147" s="61"/>
      <c r="O147" s="61"/>
      <c r="P147" s="61"/>
      <c r="Q147" s="61">
        <v>80420080126</v>
      </c>
      <c r="R147" s="61">
        <v>80420080126</v>
      </c>
    </row>
    <row r="148" spans="1:18" s="1" customFormat="1" ht="11.25" x14ac:dyDescent="0.2">
      <c r="A148" s="133"/>
      <c r="B148" s="125" t="s">
        <v>89</v>
      </c>
      <c r="C148" s="113" t="s">
        <v>4</v>
      </c>
      <c r="D148" s="57">
        <v>0.84</v>
      </c>
      <c r="E148" s="57">
        <v>2</v>
      </c>
      <c r="F148" s="57">
        <v>1.1599999999999999</v>
      </c>
      <c r="G148" s="57">
        <v>4</v>
      </c>
      <c r="H148" s="128" t="s">
        <v>44</v>
      </c>
      <c r="I148" s="61"/>
      <c r="J148" s="61"/>
      <c r="K148" s="61"/>
      <c r="L148" s="61"/>
      <c r="M148" s="61"/>
      <c r="N148" s="61"/>
      <c r="O148" s="61"/>
      <c r="P148" s="61"/>
      <c r="Q148" s="61">
        <v>80420080126</v>
      </c>
      <c r="R148" s="61">
        <v>80420070162</v>
      </c>
    </row>
    <row r="149" spans="1:18" s="1" customFormat="1" ht="11.25" x14ac:dyDescent="0.2">
      <c r="A149" s="130">
        <v>17</v>
      </c>
      <c r="B149" s="112" t="s">
        <v>125</v>
      </c>
      <c r="C149" s="113" t="s">
        <v>4</v>
      </c>
      <c r="D149" s="57">
        <v>0</v>
      </c>
      <c r="E149" s="57">
        <v>4.4000000000000004</v>
      </c>
      <c r="F149" s="57">
        <v>4.4000000000000004</v>
      </c>
      <c r="G149" s="57">
        <v>4.5</v>
      </c>
      <c r="H149" s="128" t="s">
        <v>44</v>
      </c>
      <c r="I149" s="61"/>
      <c r="J149" s="61"/>
      <c r="K149" s="61"/>
      <c r="L149" s="61"/>
      <c r="M149" s="61"/>
      <c r="N149" s="61"/>
      <c r="O149" s="61"/>
      <c r="P149" s="61"/>
      <c r="Q149" s="61">
        <v>80420080127</v>
      </c>
      <c r="R149" s="61">
        <v>80420080127</v>
      </c>
    </row>
    <row r="150" spans="1:18" s="1" customFormat="1" ht="11.25" x14ac:dyDescent="0.2">
      <c r="A150" s="129"/>
      <c r="B150" s="120" t="s">
        <v>89</v>
      </c>
      <c r="C150" s="113" t="s">
        <v>4</v>
      </c>
      <c r="D150" s="57">
        <v>4.4000000000000004</v>
      </c>
      <c r="E150" s="57">
        <v>5.3800000000000008</v>
      </c>
      <c r="F150" s="57">
        <v>0.98</v>
      </c>
      <c r="G150" s="57">
        <v>4</v>
      </c>
      <c r="H150" s="128" t="s">
        <v>44</v>
      </c>
      <c r="I150" s="61"/>
      <c r="J150" s="61"/>
      <c r="K150" s="61"/>
      <c r="L150" s="61"/>
      <c r="M150" s="61"/>
      <c r="N150" s="61"/>
      <c r="O150" s="61"/>
      <c r="P150" s="61"/>
      <c r="Q150" s="61">
        <v>80420080127</v>
      </c>
      <c r="R150" s="61">
        <v>80420090051</v>
      </c>
    </row>
    <row r="151" spans="1:18" s="1" customFormat="1" ht="11.25" x14ac:dyDescent="0.2">
      <c r="A151" s="133">
        <v>18</v>
      </c>
      <c r="B151" s="125" t="s">
        <v>126</v>
      </c>
      <c r="C151" s="113" t="s">
        <v>4</v>
      </c>
      <c r="D151" s="57">
        <v>0</v>
      </c>
      <c r="E151" s="57">
        <v>1.94</v>
      </c>
      <c r="F151" s="57">
        <v>1.94</v>
      </c>
      <c r="G151" s="57">
        <v>4</v>
      </c>
      <c r="H151" s="128" t="s">
        <v>44</v>
      </c>
      <c r="I151" s="61"/>
      <c r="J151" s="61"/>
      <c r="K151" s="61"/>
      <c r="L151" s="61"/>
      <c r="M151" s="61"/>
      <c r="N151" s="61"/>
      <c r="O151" s="61"/>
      <c r="P151" s="61"/>
      <c r="Q151" s="61">
        <v>80420090049</v>
      </c>
      <c r="R151" s="61">
        <v>80420090049</v>
      </c>
    </row>
    <row r="152" spans="1:18" s="1" customFormat="1" ht="33.75" x14ac:dyDescent="0.2">
      <c r="A152" s="133"/>
      <c r="B152" s="154" t="s">
        <v>127</v>
      </c>
      <c r="C152" s="113" t="s">
        <v>4</v>
      </c>
      <c r="D152" s="57">
        <v>0</v>
      </c>
      <c r="E152" s="61">
        <v>0.45</v>
      </c>
      <c r="F152" s="61">
        <v>0.45</v>
      </c>
      <c r="G152" s="57">
        <v>4</v>
      </c>
      <c r="H152" s="128" t="s">
        <v>44</v>
      </c>
      <c r="I152" s="122"/>
      <c r="J152" s="58"/>
      <c r="K152" s="58"/>
      <c r="L152" s="58"/>
      <c r="M152" s="58"/>
      <c r="N152" s="58"/>
      <c r="O152" s="58"/>
      <c r="P152" s="58"/>
      <c r="Q152" s="66" t="s">
        <v>128</v>
      </c>
      <c r="R152" s="66" t="s">
        <v>128</v>
      </c>
    </row>
    <row r="153" spans="1:18" s="1" customFormat="1" ht="11.25" x14ac:dyDescent="0.2">
      <c r="A153" s="130">
        <v>19</v>
      </c>
      <c r="B153" s="112" t="s">
        <v>129</v>
      </c>
      <c r="C153" s="113" t="s">
        <v>4</v>
      </c>
      <c r="D153" s="57">
        <v>0</v>
      </c>
      <c r="E153" s="57">
        <v>1.65</v>
      </c>
      <c r="F153" s="57">
        <v>1.65</v>
      </c>
      <c r="G153" s="57">
        <v>4</v>
      </c>
      <c r="H153" s="128" t="s">
        <v>44</v>
      </c>
      <c r="I153" s="61"/>
      <c r="J153" s="61"/>
      <c r="K153" s="61"/>
      <c r="L153" s="61"/>
      <c r="M153" s="61"/>
      <c r="N153" s="61"/>
      <c r="O153" s="61"/>
      <c r="P153" s="61"/>
      <c r="Q153" s="61">
        <v>80420090050</v>
      </c>
      <c r="R153" s="61">
        <v>80420090050</v>
      </c>
    </row>
    <row r="154" spans="1:18" s="1" customFormat="1" ht="11.25" x14ac:dyDescent="0.2">
      <c r="A154" s="133"/>
      <c r="B154" s="125" t="s">
        <v>89</v>
      </c>
      <c r="C154" s="113" t="s">
        <v>4</v>
      </c>
      <c r="D154" s="57">
        <v>1.65</v>
      </c>
      <c r="E154" s="57">
        <v>3.09</v>
      </c>
      <c r="F154" s="57">
        <v>1.44</v>
      </c>
      <c r="G154" s="57">
        <v>4</v>
      </c>
      <c r="H154" s="128" t="s">
        <v>44</v>
      </c>
      <c r="I154" s="61"/>
      <c r="J154" s="61"/>
      <c r="K154" s="61"/>
      <c r="L154" s="61"/>
      <c r="M154" s="61"/>
      <c r="N154" s="61"/>
      <c r="O154" s="61"/>
      <c r="P154" s="61"/>
      <c r="Q154" s="61">
        <v>80420090050</v>
      </c>
      <c r="R154" s="61">
        <v>80420070163</v>
      </c>
    </row>
    <row r="155" spans="1:18" s="1" customFormat="1" ht="11.25" x14ac:dyDescent="0.2">
      <c r="A155" s="133"/>
      <c r="B155" s="125"/>
      <c r="C155" s="113" t="s">
        <v>4</v>
      </c>
      <c r="D155" s="136">
        <f>E154</f>
        <v>3.09</v>
      </c>
      <c r="E155" s="137">
        <f>D155+F155</f>
        <v>3.4699999999999998</v>
      </c>
      <c r="F155" s="137">
        <v>0.38</v>
      </c>
      <c r="G155" s="137">
        <v>4</v>
      </c>
      <c r="H155" s="155" t="s">
        <v>44</v>
      </c>
      <c r="I155" s="115"/>
      <c r="J155" s="115"/>
      <c r="K155" s="115"/>
      <c r="L155" s="115"/>
      <c r="M155" s="115"/>
      <c r="N155" s="115"/>
      <c r="O155" s="115"/>
      <c r="P155" s="115"/>
      <c r="Q155" s="139" t="s">
        <v>49</v>
      </c>
      <c r="R155" s="140">
        <v>80420070013</v>
      </c>
    </row>
    <row r="156" spans="1:18" s="1" customFormat="1" ht="11.25" x14ac:dyDescent="0.2">
      <c r="A156" s="130">
        <v>20</v>
      </c>
      <c r="B156" s="112" t="s">
        <v>130</v>
      </c>
      <c r="C156" s="113" t="s">
        <v>3</v>
      </c>
      <c r="D156" s="57">
        <v>0</v>
      </c>
      <c r="E156" s="57">
        <v>0.47</v>
      </c>
      <c r="F156" s="57">
        <v>0.47</v>
      </c>
      <c r="G156" s="57">
        <v>6</v>
      </c>
      <c r="H156" s="128" t="s">
        <v>44</v>
      </c>
      <c r="I156" s="61"/>
      <c r="J156" s="61"/>
      <c r="K156" s="61"/>
      <c r="L156" s="61"/>
      <c r="M156" s="61"/>
      <c r="N156" s="61"/>
      <c r="O156" s="61"/>
      <c r="P156" s="61"/>
      <c r="Q156" s="61">
        <v>80420070168</v>
      </c>
      <c r="R156" s="61">
        <v>80420070168</v>
      </c>
    </row>
    <row r="157" spans="1:18" s="1" customFormat="1" ht="11.25" x14ac:dyDescent="0.2">
      <c r="A157" s="129"/>
      <c r="B157" s="120" t="s">
        <v>89</v>
      </c>
      <c r="C157" s="113" t="s">
        <v>3</v>
      </c>
      <c r="D157" s="57">
        <v>0.47</v>
      </c>
      <c r="E157" s="57">
        <v>2.5199999999999996</v>
      </c>
      <c r="F157" s="57">
        <v>2.0499999999999998</v>
      </c>
      <c r="G157" s="57">
        <v>4</v>
      </c>
      <c r="H157" s="128" t="s">
        <v>44</v>
      </c>
      <c r="I157" s="61"/>
      <c r="J157" s="61"/>
      <c r="K157" s="61"/>
      <c r="L157" s="61"/>
      <c r="M157" s="61"/>
      <c r="N157" s="61"/>
      <c r="O157" s="61"/>
      <c r="P157" s="61"/>
      <c r="Q157" s="61">
        <v>80420070168</v>
      </c>
      <c r="R157" s="61">
        <v>80420070168</v>
      </c>
    </row>
    <row r="158" spans="1:18" s="1" customFormat="1" ht="11.25" x14ac:dyDescent="0.2">
      <c r="A158" s="130">
        <v>21</v>
      </c>
      <c r="B158" s="112" t="s">
        <v>131</v>
      </c>
      <c r="C158" s="113" t="s">
        <v>4</v>
      </c>
      <c r="D158" s="57">
        <v>0</v>
      </c>
      <c r="E158" s="57">
        <v>0.77</v>
      </c>
      <c r="F158" s="57">
        <v>0.77</v>
      </c>
      <c r="G158" s="57">
        <v>3.2</v>
      </c>
      <c r="H158" s="128" t="s">
        <v>44</v>
      </c>
      <c r="I158" s="61"/>
      <c r="J158" s="61"/>
      <c r="K158" s="61"/>
      <c r="L158" s="61"/>
      <c r="M158" s="61"/>
      <c r="N158" s="61"/>
      <c r="O158" s="61"/>
      <c r="P158" s="61"/>
      <c r="Q158" s="61">
        <v>80420070165</v>
      </c>
      <c r="R158" s="61">
        <v>80420070165</v>
      </c>
    </row>
    <row r="159" spans="1:18" s="1" customFormat="1" ht="11.25" x14ac:dyDescent="0.2">
      <c r="A159" s="129"/>
      <c r="B159" s="120" t="s">
        <v>89</v>
      </c>
      <c r="C159" s="113" t="s">
        <v>4</v>
      </c>
      <c r="D159" s="57">
        <v>0.77</v>
      </c>
      <c r="E159" s="57">
        <v>1.27</v>
      </c>
      <c r="F159" s="57">
        <v>0.5</v>
      </c>
      <c r="G159" s="57">
        <v>3.2</v>
      </c>
      <c r="H159" s="128" t="s">
        <v>44</v>
      </c>
      <c r="I159" s="61"/>
      <c r="J159" s="61"/>
      <c r="K159" s="61"/>
      <c r="L159" s="61"/>
      <c r="M159" s="61"/>
      <c r="N159" s="61"/>
      <c r="O159" s="61"/>
      <c r="P159" s="61"/>
      <c r="Q159" s="61">
        <v>80420070165</v>
      </c>
      <c r="R159" s="61">
        <v>80420070177</v>
      </c>
    </row>
    <row r="160" spans="1:18" s="1" customFormat="1" ht="11.25" x14ac:dyDescent="0.2">
      <c r="A160" s="133">
        <v>22</v>
      </c>
      <c r="B160" s="125" t="s">
        <v>132</v>
      </c>
      <c r="C160" s="113" t="s">
        <v>4</v>
      </c>
      <c r="D160" s="57">
        <v>0</v>
      </c>
      <c r="E160" s="57">
        <v>0.55000000000000004</v>
      </c>
      <c r="F160" s="57">
        <v>0.55000000000000004</v>
      </c>
      <c r="G160" s="57">
        <v>3</v>
      </c>
      <c r="H160" s="128" t="s">
        <v>44</v>
      </c>
      <c r="I160" s="61"/>
      <c r="J160" s="61"/>
      <c r="K160" s="61"/>
      <c r="L160" s="61"/>
      <c r="M160" s="61"/>
      <c r="N160" s="61"/>
      <c r="O160" s="61"/>
      <c r="P160" s="61"/>
      <c r="Q160" s="61">
        <v>80420070166</v>
      </c>
      <c r="R160" s="61">
        <v>80420070166</v>
      </c>
    </row>
    <row r="161" spans="1:32" s="1" customFormat="1" ht="11.25" x14ac:dyDescent="0.2">
      <c r="A161" s="133"/>
      <c r="B161" s="125" t="s">
        <v>89</v>
      </c>
      <c r="C161" s="113" t="s">
        <v>4</v>
      </c>
      <c r="D161" s="57">
        <v>0.55000000000000004</v>
      </c>
      <c r="E161" s="57">
        <v>1.08</v>
      </c>
      <c r="F161" s="57">
        <v>0.53</v>
      </c>
      <c r="G161" s="57">
        <v>3.5</v>
      </c>
      <c r="H161" s="128" t="s">
        <v>44</v>
      </c>
      <c r="I161" s="61"/>
      <c r="J161" s="61"/>
      <c r="K161" s="61"/>
      <c r="L161" s="61"/>
      <c r="M161" s="61"/>
      <c r="N161" s="61"/>
      <c r="O161" s="61"/>
      <c r="P161" s="61"/>
      <c r="Q161" s="61">
        <v>80420070166</v>
      </c>
      <c r="R161" s="61">
        <v>80420070178</v>
      </c>
    </row>
    <row r="162" spans="1:32" s="1" customFormat="1" ht="11.25" x14ac:dyDescent="0.2">
      <c r="A162" s="130">
        <v>23</v>
      </c>
      <c r="B162" s="112" t="s">
        <v>133</v>
      </c>
      <c r="C162" s="113" t="s">
        <v>4</v>
      </c>
      <c r="D162" s="57">
        <v>0</v>
      </c>
      <c r="E162" s="57">
        <v>4.4800000000000004</v>
      </c>
      <c r="F162" s="57">
        <v>4.4800000000000004</v>
      </c>
      <c r="G162" s="57">
        <v>4</v>
      </c>
      <c r="H162" s="128" t="s">
        <v>44</v>
      </c>
      <c r="I162" s="61"/>
      <c r="J162" s="61"/>
      <c r="K162" s="61"/>
      <c r="L162" s="61"/>
      <c r="M162" s="61"/>
      <c r="N162" s="61"/>
      <c r="O162" s="61"/>
      <c r="P162" s="61"/>
      <c r="Q162" s="61">
        <v>80420030071</v>
      </c>
      <c r="R162" s="61">
        <v>80420030071</v>
      </c>
    </row>
    <row r="163" spans="1:32" s="1" customFormat="1" ht="11.25" x14ac:dyDescent="0.2">
      <c r="A163" s="129"/>
      <c r="B163" s="120" t="s">
        <v>89</v>
      </c>
      <c r="C163" s="113" t="s">
        <v>4</v>
      </c>
      <c r="D163" s="57">
        <v>4.4800000000000004</v>
      </c>
      <c r="E163" s="57">
        <v>6.5200000000000005</v>
      </c>
      <c r="F163" s="57">
        <v>2.04</v>
      </c>
      <c r="G163" s="57">
        <v>4</v>
      </c>
      <c r="H163" s="128" t="s">
        <v>44</v>
      </c>
      <c r="I163" s="61"/>
      <c r="J163" s="61"/>
      <c r="K163" s="61"/>
      <c r="L163" s="61"/>
      <c r="M163" s="61"/>
      <c r="N163" s="61"/>
      <c r="O163" s="61"/>
      <c r="P163" s="61"/>
      <c r="Q163" s="61">
        <v>80420030071</v>
      </c>
      <c r="R163" s="61">
        <v>80420070167</v>
      </c>
    </row>
    <row r="164" spans="1:32" s="1" customFormat="1" ht="11.25" x14ac:dyDescent="0.2">
      <c r="A164" s="133">
        <v>24</v>
      </c>
      <c r="B164" s="125" t="s">
        <v>134</v>
      </c>
      <c r="C164" s="156" t="s">
        <v>4</v>
      </c>
      <c r="D164" s="57">
        <v>0</v>
      </c>
      <c r="E164" s="57">
        <v>0.66</v>
      </c>
      <c r="F164" s="57">
        <v>0.66</v>
      </c>
      <c r="G164" s="57">
        <v>3</v>
      </c>
      <c r="H164" s="128" t="s">
        <v>44</v>
      </c>
      <c r="I164" s="61"/>
      <c r="J164" s="61"/>
      <c r="K164" s="61"/>
      <c r="L164" s="61"/>
      <c r="M164" s="61"/>
      <c r="N164" s="61"/>
      <c r="O164" s="61"/>
      <c r="P164" s="61"/>
      <c r="Q164" s="61">
        <v>80420030075</v>
      </c>
      <c r="R164" s="61">
        <v>80420030075</v>
      </c>
    </row>
    <row r="165" spans="1:32" s="1" customFormat="1" ht="11.25" x14ac:dyDescent="0.2">
      <c r="A165" s="153">
        <v>25</v>
      </c>
      <c r="B165" s="76" t="s">
        <v>135</v>
      </c>
      <c r="C165" s="113" t="s">
        <v>4</v>
      </c>
      <c r="D165" s="57">
        <v>0</v>
      </c>
      <c r="E165" s="57">
        <v>1.01</v>
      </c>
      <c r="F165" s="57">
        <v>1.01</v>
      </c>
      <c r="G165" s="57">
        <v>3.3</v>
      </c>
      <c r="H165" s="128" t="s">
        <v>44</v>
      </c>
      <c r="I165" s="61"/>
      <c r="J165" s="61"/>
      <c r="K165" s="61"/>
      <c r="L165" s="61"/>
      <c r="M165" s="61"/>
      <c r="N165" s="61"/>
      <c r="O165" s="61"/>
      <c r="P165" s="61"/>
      <c r="Q165" s="61">
        <v>80420030072</v>
      </c>
      <c r="R165" s="61">
        <v>80420030072</v>
      </c>
    </row>
    <row r="166" spans="1:32" s="1" customFormat="1" ht="11.25" x14ac:dyDescent="0.2">
      <c r="A166" s="133">
        <v>26</v>
      </c>
      <c r="B166" s="125" t="s">
        <v>136</v>
      </c>
      <c r="C166" s="113" t="s">
        <v>4</v>
      </c>
      <c r="D166" s="57">
        <v>0</v>
      </c>
      <c r="E166" s="57">
        <v>4.22</v>
      </c>
      <c r="F166" s="57">
        <v>4.22</v>
      </c>
      <c r="G166" s="57">
        <v>4</v>
      </c>
      <c r="H166" s="128" t="s">
        <v>44</v>
      </c>
      <c r="I166" s="61"/>
      <c r="J166" s="61"/>
      <c r="K166" s="61"/>
      <c r="L166" s="61"/>
      <c r="M166" s="61"/>
      <c r="N166" s="61"/>
      <c r="O166" s="61"/>
      <c r="P166" s="61"/>
      <c r="Q166" s="61">
        <v>80420030070</v>
      </c>
      <c r="R166" s="61">
        <v>80420030070</v>
      </c>
    </row>
    <row r="167" spans="1:32" s="1" customFormat="1" ht="11.25" x14ac:dyDescent="0.2">
      <c r="A167" s="133"/>
      <c r="B167" s="125" t="s">
        <v>89</v>
      </c>
      <c r="C167" s="113" t="s">
        <v>4</v>
      </c>
      <c r="D167" s="57">
        <v>4.22</v>
      </c>
      <c r="E167" s="57">
        <v>7.05</v>
      </c>
      <c r="F167" s="57">
        <v>2.83</v>
      </c>
      <c r="G167" s="57">
        <v>4</v>
      </c>
      <c r="H167" s="128" t="s">
        <v>44</v>
      </c>
      <c r="I167" s="61"/>
      <c r="J167" s="61"/>
      <c r="K167" s="61"/>
      <c r="L167" s="61"/>
      <c r="M167" s="61"/>
      <c r="N167" s="61"/>
      <c r="O167" s="61"/>
      <c r="P167" s="61"/>
      <c r="Q167" s="61">
        <v>80420030070</v>
      </c>
      <c r="R167" s="61">
        <v>80420060035</v>
      </c>
    </row>
    <row r="168" spans="1:32" s="1" customFormat="1" ht="11.25" x14ac:dyDescent="0.2">
      <c r="A168" s="133"/>
      <c r="B168" s="125" t="s">
        <v>89</v>
      </c>
      <c r="C168" s="113" t="s">
        <v>4</v>
      </c>
      <c r="D168" s="57">
        <v>7.05</v>
      </c>
      <c r="E168" s="57">
        <v>8.35</v>
      </c>
      <c r="F168" s="57">
        <v>1.3</v>
      </c>
      <c r="G168" s="57">
        <v>4</v>
      </c>
      <c r="H168" s="128" t="s">
        <v>44</v>
      </c>
      <c r="I168" s="61"/>
      <c r="J168" s="61"/>
      <c r="K168" s="61"/>
      <c r="L168" s="61"/>
      <c r="M168" s="61"/>
      <c r="N168" s="61"/>
      <c r="O168" s="61"/>
      <c r="P168" s="61"/>
      <c r="Q168" s="61">
        <v>80420030070</v>
      </c>
      <c r="R168" s="61">
        <v>80420050054</v>
      </c>
    </row>
    <row r="169" spans="1:32" s="1" customFormat="1" ht="11.25" x14ac:dyDescent="0.2">
      <c r="A169" s="130">
        <v>27</v>
      </c>
      <c r="B169" s="112" t="s">
        <v>137</v>
      </c>
      <c r="C169" s="113" t="s">
        <v>4</v>
      </c>
      <c r="D169" s="57">
        <v>0</v>
      </c>
      <c r="E169" s="57">
        <v>0.46</v>
      </c>
      <c r="F169" s="57">
        <v>0.46</v>
      </c>
      <c r="G169" s="57">
        <v>4</v>
      </c>
      <c r="H169" s="128" t="s">
        <v>44</v>
      </c>
      <c r="I169" s="61"/>
      <c r="J169" s="61"/>
      <c r="K169" s="61"/>
      <c r="L169" s="61"/>
      <c r="M169" s="61"/>
      <c r="N169" s="61"/>
      <c r="O169" s="61"/>
      <c r="P169" s="61"/>
      <c r="Q169" s="61">
        <v>80420050053</v>
      </c>
      <c r="R169" s="61">
        <v>80420050067</v>
      </c>
    </row>
    <row r="170" spans="1:32" s="1" customFormat="1" ht="11.25" x14ac:dyDescent="0.2">
      <c r="A170" s="133"/>
      <c r="B170" s="125"/>
      <c r="C170" s="113" t="s">
        <v>4</v>
      </c>
      <c r="D170" s="143">
        <f>E169</f>
        <v>0.46</v>
      </c>
      <c r="E170" s="144">
        <f>D170+F170</f>
        <v>0.76</v>
      </c>
      <c r="F170" s="157">
        <v>0.3</v>
      </c>
      <c r="G170" s="157">
        <v>3</v>
      </c>
      <c r="H170" s="155" t="s">
        <v>46</v>
      </c>
      <c r="I170" s="145"/>
      <c r="J170" s="145"/>
      <c r="K170" s="145"/>
      <c r="L170" s="145"/>
      <c r="M170" s="145"/>
      <c r="N170" s="145"/>
      <c r="O170" s="145"/>
      <c r="P170" s="145"/>
      <c r="Q170" s="139" t="s">
        <v>49</v>
      </c>
      <c r="R170" s="142">
        <v>80420050013</v>
      </c>
    </row>
    <row r="171" spans="1:32" s="1" customFormat="1" ht="11.25" x14ac:dyDescent="0.2">
      <c r="A171" s="133"/>
      <c r="B171" s="125" t="s">
        <v>89</v>
      </c>
      <c r="C171" s="113" t="s">
        <v>4</v>
      </c>
      <c r="D171" s="57">
        <v>0.76</v>
      </c>
      <c r="E171" s="57">
        <v>1.1099999999999999</v>
      </c>
      <c r="F171" s="57">
        <v>0.35</v>
      </c>
      <c r="G171" s="57">
        <v>3</v>
      </c>
      <c r="H171" s="128" t="s">
        <v>46</v>
      </c>
      <c r="I171" s="61"/>
      <c r="J171" s="61"/>
      <c r="K171" s="61"/>
      <c r="L171" s="61"/>
      <c r="M171" s="61"/>
      <c r="N171" s="61"/>
      <c r="O171" s="61"/>
      <c r="P171" s="61"/>
      <c r="Q171" s="61">
        <v>80420050053</v>
      </c>
      <c r="R171" s="61">
        <v>80420050053</v>
      </c>
    </row>
    <row r="172" spans="1:32" s="1" customFormat="1" ht="22.5" x14ac:dyDescent="0.2">
      <c r="A172" s="133"/>
      <c r="B172" s="125" t="s">
        <v>89</v>
      </c>
      <c r="C172" s="113" t="s">
        <v>4</v>
      </c>
      <c r="D172" s="57">
        <v>1.1099999999999999</v>
      </c>
      <c r="E172" s="57">
        <v>2.0699999999999998</v>
      </c>
      <c r="F172" s="57">
        <v>0.96</v>
      </c>
      <c r="G172" s="57">
        <v>3</v>
      </c>
      <c r="H172" s="128" t="s">
        <v>44</v>
      </c>
      <c r="I172" s="113" t="s">
        <v>138</v>
      </c>
      <c r="J172" s="61">
        <v>2.08</v>
      </c>
      <c r="K172" s="113" t="s">
        <v>139</v>
      </c>
      <c r="L172" s="158">
        <v>18</v>
      </c>
      <c r="M172" s="61">
        <v>129</v>
      </c>
      <c r="N172" s="61"/>
      <c r="O172" s="113" t="s">
        <v>100</v>
      </c>
      <c r="P172" s="61"/>
      <c r="Q172" s="61">
        <v>80420050053</v>
      </c>
      <c r="R172" s="61">
        <v>80420050053</v>
      </c>
    </row>
    <row r="173" spans="1:32" s="1" customFormat="1" ht="11.25" x14ac:dyDescent="0.2">
      <c r="A173" s="129"/>
      <c r="B173" s="120" t="s">
        <v>89</v>
      </c>
      <c r="C173" s="113" t="s">
        <v>4</v>
      </c>
      <c r="D173" s="57">
        <v>2.09</v>
      </c>
      <c r="E173" s="57">
        <v>2.71</v>
      </c>
      <c r="F173" s="57">
        <v>0.62</v>
      </c>
      <c r="G173" s="57">
        <v>4</v>
      </c>
      <c r="H173" s="128" t="s">
        <v>44</v>
      </c>
      <c r="I173" s="61"/>
      <c r="J173" s="61"/>
      <c r="K173" s="61"/>
      <c r="L173" s="61"/>
      <c r="M173" s="61"/>
      <c r="N173" s="61"/>
      <c r="O173" s="61"/>
      <c r="P173" s="61"/>
      <c r="Q173" s="61">
        <v>80420050053</v>
      </c>
      <c r="R173" s="61">
        <v>80420050053</v>
      </c>
    </row>
    <row r="174" spans="1:32" s="1" customFormat="1" ht="11.25" x14ac:dyDescent="0.2">
      <c r="A174" s="153">
        <v>28</v>
      </c>
      <c r="B174" s="76" t="s">
        <v>140</v>
      </c>
      <c r="C174" s="113" t="s">
        <v>4</v>
      </c>
      <c r="D174" s="57">
        <v>0</v>
      </c>
      <c r="E174" s="57">
        <v>0.64</v>
      </c>
      <c r="F174" s="57">
        <v>0.64</v>
      </c>
      <c r="G174" s="57">
        <v>3</v>
      </c>
      <c r="H174" s="128" t="s">
        <v>44</v>
      </c>
      <c r="I174" s="61"/>
      <c r="J174" s="61"/>
      <c r="K174" s="61"/>
      <c r="L174" s="61"/>
      <c r="M174" s="61"/>
      <c r="N174" s="61"/>
      <c r="O174" s="61"/>
      <c r="P174" s="61"/>
      <c r="Q174" s="61">
        <v>80420060037</v>
      </c>
      <c r="R174" s="61">
        <v>80420060037</v>
      </c>
    </row>
    <row r="175" spans="1:32" s="1" customFormat="1" x14ac:dyDescent="0.25">
      <c r="A175" s="153"/>
      <c r="B175" s="76"/>
      <c r="C175" s="113" t="s">
        <v>4</v>
      </c>
      <c r="D175" s="73">
        <f>E174</f>
        <v>0.64</v>
      </c>
      <c r="E175" s="55">
        <f>D175+F175</f>
        <v>1.1600000000000001</v>
      </c>
      <c r="F175" s="159">
        <v>0.52</v>
      </c>
      <c r="G175" s="159">
        <v>3</v>
      </c>
      <c r="H175" s="160" t="s">
        <v>44</v>
      </c>
      <c r="I175" s="58"/>
      <c r="J175" s="58"/>
      <c r="K175" s="58"/>
      <c r="L175" s="58"/>
      <c r="M175" s="58"/>
      <c r="N175" s="58"/>
      <c r="O175" s="58"/>
      <c r="P175" s="58"/>
      <c r="Q175" s="139" t="s">
        <v>49</v>
      </c>
      <c r="R175" s="140" t="s">
        <v>141</v>
      </c>
      <c r="S175"/>
      <c r="T175"/>
      <c r="U175"/>
      <c r="V175"/>
      <c r="W175"/>
      <c r="X175"/>
      <c r="Y175"/>
      <c r="Z175"/>
      <c r="AA175" t="s">
        <v>70</v>
      </c>
      <c r="AB175"/>
      <c r="AC175"/>
      <c r="AD175"/>
      <c r="AE175"/>
      <c r="AF175"/>
    </row>
    <row r="176" spans="1:32" s="1" customFormat="1" ht="22.5" x14ac:dyDescent="0.2">
      <c r="C176" s="77"/>
      <c r="H176" s="9"/>
      <c r="K176" s="78" t="s">
        <v>71</v>
      </c>
      <c r="L176" s="81">
        <f>SUM(L102:L175)</f>
        <v>18</v>
      </c>
      <c r="M176" s="81">
        <f>SUM(M102:M175)</f>
        <v>129</v>
      </c>
      <c r="N176" s="80"/>
      <c r="O176" s="78" t="s">
        <v>72</v>
      </c>
      <c r="P176" s="81">
        <f>SUM(P102:P175)</f>
        <v>0</v>
      </c>
      <c r="S176" s="82"/>
      <c r="T176" s="83" t="s">
        <v>73</v>
      </c>
      <c r="U176" s="83" t="s">
        <v>74</v>
      </c>
      <c r="V176" s="83" t="s">
        <v>75</v>
      </c>
      <c r="W176" s="83" t="s">
        <v>76</v>
      </c>
      <c r="X176" s="83" t="s">
        <v>77</v>
      </c>
      <c r="Y176" s="84" t="s">
        <v>72</v>
      </c>
      <c r="Z176" s="82"/>
      <c r="AA176" s="83" t="s">
        <v>73</v>
      </c>
      <c r="AB176" s="83" t="s">
        <v>74</v>
      </c>
      <c r="AC176" s="83" t="s">
        <v>75</v>
      </c>
      <c r="AD176" s="83" t="s">
        <v>76</v>
      </c>
      <c r="AE176" s="83" t="s">
        <v>77</v>
      </c>
      <c r="AF176" s="84" t="s">
        <v>72</v>
      </c>
    </row>
    <row r="177" spans="1:32" s="1" customFormat="1" ht="11.25" x14ac:dyDescent="0.2">
      <c r="A177" s="85" t="s">
        <v>142</v>
      </c>
      <c r="B177" s="86"/>
      <c r="C177" s="86"/>
      <c r="D177" s="87"/>
      <c r="E177" s="87"/>
      <c r="F177" s="81">
        <f>SUM(F102:F175)</f>
        <v>71.399999999999963</v>
      </c>
      <c r="G177" s="88"/>
      <c r="H177" s="89"/>
      <c r="I177" s="27"/>
      <c r="J177" s="90"/>
      <c r="Q177" s="80"/>
      <c r="S177" s="91" t="s">
        <v>38</v>
      </c>
      <c r="T177" s="83" t="s">
        <v>41</v>
      </c>
      <c r="U177" s="83" t="s">
        <v>41</v>
      </c>
      <c r="V177" s="83" t="s">
        <v>41</v>
      </c>
      <c r="W177" s="83" t="s">
        <v>41</v>
      </c>
      <c r="X177" s="83" t="s">
        <v>41</v>
      </c>
      <c r="Y177" s="84" t="s">
        <v>41</v>
      </c>
      <c r="Z177" s="91"/>
      <c r="AA177" s="83" t="s">
        <v>41</v>
      </c>
      <c r="AB177" s="83" t="s">
        <v>41</v>
      </c>
      <c r="AC177" s="83" t="s">
        <v>41</v>
      </c>
      <c r="AD177" s="83" t="s">
        <v>41</v>
      </c>
      <c r="AE177" s="83" t="s">
        <v>41</v>
      </c>
      <c r="AF177" s="84" t="s">
        <v>41</v>
      </c>
    </row>
    <row r="178" spans="1:32" s="1" customFormat="1" ht="11.25" x14ac:dyDescent="0.2">
      <c r="A178" s="92" t="s">
        <v>79</v>
      </c>
      <c r="B178" s="93"/>
      <c r="C178" s="93"/>
      <c r="D178" s="94"/>
      <c r="E178" s="94"/>
      <c r="F178" s="95">
        <f>F129+F134+F136+F138</f>
        <v>0.52</v>
      </c>
      <c r="G178" s="96"/>
      <c r="H178" s="97"/>
      <c r="I178" s="98"/>
      <c r="J178" s="80"/>
      <c r="K178" s="80"/>
      <c r="L178" s="99"/>
      <c r="M178" s="99"/>
      <c r="N178" s="80"/>
      <c r="O178" s="80"/>
      <c r="P178" s="80"/>
      <c r="Q178" s="80"/>
      <c r="S178" s="100" t="s">
        <v>1</v>
      </c>
      <c r="T178" s="101">
        <f>SUMIFS(F102:F175,C102:C175,"A",H102:H175,"melnais")</f>
        <v>0</v>
      </c>
      <c r="U178" s="101">
        <f>SUMIFS(F102:F175,C102:C175,"A",H102:H175,"dubultā virsma")</f>
        <v>0</v>
      </c>
      <c r="V178" s="101">
        <f>SUMIFS(F102:F175,C102:C175,"A",H102:H175,"bruģis")</f>
        <v>0</v>
      </c>
      <c r="W178" s="101">
        <f>SUMIFS(F102:F175,C102:C175,"A",H102:H175,"grants")</f>
        <v>0</v>
      </c>
      <c r="X178" s="101">
        <f>SUMIFS(F102:F175,C102:C175,"A",H102:H175,"cits segums")</f>
        <v>0</v>
      </c>
      <c r="Y178" s="101">
        <f>SUM(T178:X178)</f>
        <v>0</v>
      </c>
      <c r="Z178" s="100" t="s">
        <v>1</v>
      </c>
      <c r="AA178" s="102">
        <f>SUMIFS(F102:F175,C102:C175,"A",H102:H175,"melnais", Q102:Q175,"Nepiederošs")</f>
        <v>0</v>
      </c>
      <c r="AB178" s="102">
        <f>SUMIFS(F102:F175,C102:C175,"A",H102:H175,"dubultā virsma", Q102:Q175,"Nepiederošs")</f>
        <v>0</v>
      </c>
      <c r="AC178" s="102">
        <f>SUMIFS(F102:F175,C102:C175,"A",H102:H175,"bruģis", Q102:Q175,"Nepiederošs")</f>
        <v>0</v>
      </c>
      <c r="AD178" s="102">
        <f>SUMIFS(F102:F175,C102:C175,"A",H102:H175,"grants", Q102:Q175,"Nepiederošs")</f>
        <v>0</v>
      </c>
      <c r="AE178" s="102">
        <f>SUMIFS(F102:F175,C102:C175,"A",H102:H175,"cits segums", Q102:Q175,"Nepiederošs")</f>
        <v>0</v>
      </c>
      <c r="AF178" s="102">
        <f>SUM(AA178:AE178)</f>
        <v>0</v>
      </c>
    </row>
    <row r="179" spans="1:32" s="1" customFormat="1" ht="11.25" x14ac:dyDescent="0.2">
      <c r="A179" s="92" t="s">
        <v>80</v>
      </c>
      <c r="B179" s="93"/>
      <c r="C179" s="93"/>
      <c r="D179" s="94"/>
      <c r="E179" s="94"/>
      <c r="F179" s="95">
        <v>0</v>
      </c>
      <c r="G179" s="96"/>
      <c r="H179" s="27"/>
      <c r="I179" s="27"/>
      <c r="J179" s="80"/>
      <c r="K179" s="103"/>
      <c r="L179" s="103"/>
      <c r="M179" s="103"/>
      <c r="N179" s="80"/>
      <c r="O179" s="80"/>
      <c r="P179" s="80"/>
      <c r="Q179" s="80"/>
      <c r="S179" s="104" t="s">
        <v>2</v>
      </c>
      <c r="T179" s="101">
        <f>SUMIFS(F102:F175,C102:C175,"B",H102:H175,"melnais")</f>
        <v>0</v>
      </c>
      <c r="U179" s="101">
        <f>SUMIFS(F102:F175,C102:C175,"B",H102:H175,"dubultā virsma")</f>
        <v>0</v>
      </c>
      <c r="V179" s="101">
        <f>SUMIFS(F102:F175,C102:C175,"B",H102:H175,"bruģis")</f>
        <v>0</v>
      </c>
      <c r="W179" s="101">
        <f>SUMIFS(F102:F175,C102:C175,"B",H102:H175,"grants")</f>
        <v>0</v>
      </c>
      <c r="X179" s="101">
        <f>SUMIFS(F102:F175,C102:C175,"B",H102:H175,"cits segums")</f>
        <v>0</v>
      </c>
      <c r="Y179" s="101">
        <f t="shared" ref="Y179:Y181" si="10">SUM(T179:X179)</f>
        <v>0</v>
      </c>
      <c r="Z179" s="104" t="s">
        <v>2</v>
      </c>
      <c r="AA179" s="102">
        <f>SUMIFS(F102:F175,C102:C175,"B",H102:H175,"melnais", Q102:Q175,"Nepiederošs")</f>
        <v>0</v>
      </c>
      <c r="AB179" s="102">
        <f>SUMIFS(F102:F175,C102:C175,"B",H102:H175,"dubultā virsma", Q102:Q175,"Nepiederošs")</f>
        <v>0</v>
      </c>
      <c r="AC179" s="102">
        <f>SUMIFS(F102:F175,C102:C175,"B",H102:H175,"bruģis", Q102:Q175,"Nepiederošs")</f>
        <v>0</v>
      </c>
      <c r="AD179" s="102">
        <f>SUMIFS(F102:F175,C102:C175,"B",H102:H175,"grants", Q102:Q175,"Nepiederošs")</f>
        <v>0</v>
      </c>
      <c r="AE179" s="102">
        <f>SUMIFS(F102:F175,C102:C175,"B",H102:H175,"cits segums", Q102:Q175,"Nepiederošs")</f>
        <v>0</v>
      </c>
      <c r="AF179" s="102">
        <f t="shared" ref="AF179:AF181" si="11">SUM(AA179:AE179)</f>
        <v>0</v>
      </c>
    </row>
    <row r="180" spans="1:32" s="1" customFormat="1" ht="11.25" x14ac:dyDescent="0.2">
      <c r="A180" s="92" t="s">
        <v>81</v>
      </c>
      <c r="B180" s="93"/>
      <c r="C180" s="93"/>
      <c r="D180" s="94"/>
      <c r="E180" s="94"/>
      <c r="F180" s="95">
        <f>F177-F178-F181-F179</f>
        <v>69.299999999999969</v>
      </c>
      <c r="G180" s="96"/>
      <c r="H180" s="27"/>
      <c r="I180" s="27"/>
      <c r="J180" s="80"/>
      <c r="K180" s="103"/>
      <c r="L180" s="103"/>
      <c r="M180" s="103"/>
      <c r="N180" s="80"/>
      <c r="O180" s="80"/>
      <c r="P180" s="80"/>
      <c r="Q180" s="80"/>
      <c r="S180" s="105" t="s">
        <v>3</v>
      </c>
      <c r="T180" s="101">
        <f>SUMIFS(F102:F175,C102:C175,"C",H102:H175,"melnais")</f>
        <v>0</v>
      </c>
      <c r="U180" s="101">
        <f>SUMIFS(F102:F175,C102:C175,"C",H102:H175,"dubultā virsma")</f>
        <v>0</v>
      </c>
      <c r="V180" s="101">
        <f>SUMIFS(F102:F175,C102:C175,"C",H102:H175,"bruģis")</f>
        <v>0</v>
      </c>
      <c r="W180" s="101">
        <f>SUMIFS(F102:F175,C102:C175,"C",H102:H175,"grants")</f>
        <v>16.350000000000001</v>
      </c>
      <c r="X180" s="101">
        <f>SUMIFS(F102:F175,C102:C175,"C",H102:H175,"cits segums")</f>
        <v>0.79</v>
      </c>
      <c r="Y180" s="101">
        <f t="shared" si="10"/>
        <v>17.14</v>
      </c>
      <c r="Z180" s="105" t="s">
        <v>3</v>
      </c>
      <c r="AA180" s="102">
        <f>SUMIFS(F102:F175,C102:C175,"C",H102:H175,"melnais", Q102:Q175,"Nepiederošs")</f>
        <v>0</v>
      </c>
      <c r="AB180" s="102">
        <f>SUMIFS(F102:F175,C102:C175,"C",H102:H175,"dubultā virsma", Q102:Q175,"Nepiederošs")</f>
        <v>0</v>
      </c>
      <c r="AC180" s="102">
        <f>SUMIFS(F102:F175,C102:C175,"C",H102:H175,"bruģis", Q102:Q175,"Nepiederošs")</f>
        <v>0</v>
      </c>
      <c r="AD180" s="102">
        <f>SUMIFS(F102:F175,C102:C175,"C",H102:H175,"grants", Q102:Q175,"Nepiederošs")</f>
        <v>0.7</v>
      </c>
      <c r="AE180" s="102">
        <f>SUMIFS(F102:F175,C102:C175,"C",H102:H175,"cits segums", Q102:Q175,"Nepiederošs")</f>
        <v>0</v>
      </c>
      <c r="AF180" s="102">
        <f t="shared" si="11"/>
        <v>0.7</v>
      </c>
    </row>
    <row r="181" spans="1:32" s="1" customFormat="1" ht="11.25" x14ac:dyDescent="0.2">
      <c r="A181" s="92" t="s">
        <v>82</v>
      </c>
      <c r="B181" s="93"/>
      <c r="C181" s="93"/>
      <c r="D181" s="94"/>
      <c r="E181" s="94"/>
      <c r="F181" s="95">
        <f>F171+F118+F110+F107</f>
        <v>1.58</v>
      </c>
      <c r="G181" s="96"/>
      <c r="H181" s="98"/>
      <c r="I181" s="27"/>
      <c r="J181" s="106"/>
      <c r="K181" s="103"/>
      <c r="L181" s="103"/>
      <c r="M181" s="103"/>
      <c r="N181" s="80"/>
      <c r="O181" s="80"/>
      <c r="P181" s="80"/>
      <c r="Q181" s="80"/>
      <c r="S181" s="100" t="s">
        <v>4</v>
      </c>
      <c r="T181" s="101">
        <f>SUMIFS(F102:F175,C102:C175,"D",H102:H175,"melnais")</f>
        <v>0.52</v>
      </c>
      <c r="U181" s="101">
        <f>SUMIFS(F102:F175,C102:C175,"D",H102:H175,"dubultā virsma")</f>
        <v>0</v>
      </c>
      <c r="V181" s="101">
        <f>SUMIFS(F102:F175,C102:C175,"D",H102:H175,"bruģis")</f>
        <v>0</v>
      </c>
      <c r="W181" s="101">
        <f>SUMIFS(F102:F175,C102:C175,"D",H102:H175,"grants")</f>
        <v>52.649999999999991</v>
      </c>
      <c r="X181" s="101">
        <f>SUMIFS(F102:F175,C102:C175,"D",H102:H175,"cits segums")</f>
        <v>1.0899999999999999</v>
      </c>
      <c r="Y181" s="101">
        <f t="shared" si="10"/>
        <v>54.259999999999991</v>
      </c>
      <c r="Z181" s="100" t="s">
        <v>4</v>
      </c>
      <c r="AA181" s="102">
        <f>SUMIFS(F102:F175,C102:C175,"D",H102:H175,"melnais", Q102:Q175,"Nepiederošs")</f>
        <v>0</v>
      </c>
      <c r="AB181" s="102">
        <f>SUMIFS(F102:F175,C102:C175,"D",H102:H175,"dubultā virsma", Q102:Q175,"Nepiederošs")</f>
        <v>0</v>
      </c>
      <c r="AC181" s="102">
        <f>SUMIFS(F102:F175,C102:C175,"D",H102:H175,"bruģis", Q102:Q175,"Nepiederošs")</f>
        <v>0</v>
      </c>
      <c r="AD181" s="102">
        <f>SUMIFS(F102:F175,C102:C175,"D",H102:H175,"grants", Q102:Q175,"Nepiederošs")</f>
        <v>1.9100000000000001</v>
      </c>
      <c r="AE181" s="102">
        <f>SUMIFS(F102:F175,C102:C175,"D",H102:H175,"cits segums", Q102:Q175,"Nepiederošs")</f>
        <v>0.3</v>
      </c>
      <c r="AF181" s="102">
        <f t="shared" si="11"/>
        <v>2.21</v>
      </c>
    </row>
    <row r="182" spans="1:32" x14ac:dyDescent="0.25">
      <c r="C182" s="107"/>
      <c r="T182" s="108">
        <f>SUM(T178:T181)</f>
        <v>0.52</v>
      </c>
      <c r="U182" s="108">
        <f t="shared" ref="U182:Y182" si="12">SUM(U178:U181)</f>
        <v>0</v>
      </c>
      <c r="V182" s="108">
        <f t="shared" si="12"/>
        <v>0</v>
      </c>
      <c r="W182" s="108">
        <f t="shared" si="12"/>
        <v>69</v>
      </c>
      <c r="X182" s="108">
        <f t="shared" si="12"/>
        <v>1.88</v>
      </c>
      <c r="Y182" s="108">
        <f t="shared" si="12"/>
        <v>71.399999999999991</v>
      </c>
      <c r="AA182" s="109">
        <f>SUM(AA178:AA181)</f>
        <v>0</v>
      </c>
      <c r="AB182" s="109">
        <f t="shared" ref="AB182" si="13">SUM(AB178:AB181)</f>
        <v>0</v>
      </c>
      <c r="AC182" s="109">
        <f>SUM(AC178:AC181)</f>
        <v>0</v>
      </c>
      <c r="AD182" s="109">
        <f t="shared" ref="AD182:AF182" si="14">SUM(AD178:AD181)</f>
        <v>2.6100000000000003</v>
      </c>
      <c r="AE182" s="109">
        <f t="shared" si="14"/>
        <v>0.3</v>
      </c>
      <c r="AF182" s="109">
        <f t="shared" si="14"/>
        <v>2.91</v>
      </c>
    </row>
    <row r="183" spans="1:32" s="6" customFormat="1" ht="15" customHeight="1" x14ac:dyDescent="0.25">
      <c r="A183" s="16"/>
      <c r="B183" s="16"/>
      <c r="C183" s="16"/>
      <c r="D183" s="17" t="s">
        <v>143</v>
      </c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8"/>
      <c r="R183" s="19"/>
      <c r="Z183" s="110">
        <f>Y182-AA183</f>
        <v>2.9099999999999966</v>
      </c>
      <c r="AA183" s="6">
        <v>68.489999999999995</v>
      </c>
    </row>
    <row r="184" spans="1:32" s="6" customFormat="1" ht="11.25" x14ac:dyDescent="0.25">
      <c r="A184" s="16"/>
      <c r="B184" s="16"/>
      <c r="C184" s="16"/>
      <c r="D184" s="25"/>
      <c r="E184" s="25"/>
      <c r="F184" s="25"/>
      <c r="G184" s="25"/>
      <c r="H184" s="18"/>
      <c r="I184" s="16"/>
      <c r="J184" s="16"/>
      <c r="K184" s="16"/>
      <c r="L184" s="16"/>
      <c r="M184" s="16"/>
      <c r="N184" s="26"/>
      <c r="O184" s="26"/>
      <c r="P184" s="16"/>
      <c r="Q184" s="16"/>
      <c r="R184" s="19"/>
    </row>
    <row r="185" spans="1:32" s="27" customFormat="1" ht="5.25" customHeight="1" x14ac:dyDescent="0.2">
      <c r="C185" s="26"/>
    </row>
    <row r="186" spans="1:32" s="27" customFormat="1" ht="12.75" customHeight="1" x14ac:dyDescent="0.2">
      <c r="A186" s="28" t="s">
        <v>19</v>
      </c>
      <c r="B186" s="29" t="s">
        <v>20</v>
      </c>
      <c r="C186" s="30"/>
      <c r="D186" s="31" t="s">
        <v>21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3"/>
      <c r="Q186" s="34" t="s">
        <v>22</v>
      </c>
      <c r="R186" s="35"/>
    </row>
    <row r="187" spans="1:32" s="27" customFormat="1" ht="12.75" customHeight="1" x14ac:dyDescent="0.2">
      <c r="A187" s="28"/>
      <c r="B187" s="36"/>
      <c r="C187" s="37"/>
      <c r="D187" s="38" t="s">
        <v>23</v>
      </c>
      <c r="E187" s="38"/>
      <c r="F187" s="38"/>
      <c r="G187" s="38"/>
      <c r="H187" s="38"/>
      <c r="I187" s="39" t="s">
        <v>24</v>
      </c>
      <c r="J187" s="39"/>
      <c r="K187" s="39"/>
      <c r="L187" s="39"/>
      <c r="M187" s="39"/>
      <c r="N187" s="39"/>
      <c r="O187" s="39"/>
      <c r="P187" s="40" t="s">
        <v>25</v>
      </c>
      <c r="Q187" s="41"/>
      <c r="R187" s="42"/>
    </row>
    <row r="188" spans="1:32" s="27" customFormat="1" ht="15.2" customHeight="1" x14ac:dyDescent="0.2">
      <c r="A188" s="28"/>
      <c r="B188" s="36"/>
      <c r="C188" s="37"/>
      <c r="D188" s="38" t="s">
        <v>26</v>
      </c>
      <c r="E188" s="38"/>
      <c r="F188" s="28" t="s">
        <v>27</v>
      </c>
      <c r="G188" s="28" t="s">
        <v>28</v>
      </c>
      <c r="H188" s="28" t="s">
        <v>29</v>
      </c>
      <c r="I188" s="39" t="s">
        <v>30</v>
      </c>
      <c r="J188" s="39" t="s">
        <v>31</v>
      </c>
      <c r="K188" s="39"/>
      <c r="L188" s="43" t="s">
        <v>32</v>
      </c>
      <c r="M188" s="43" t="s">
        <v>33</v>
      </c>
      <c r="N188" s="43" t="s">
        <v>34</v>
      </c>
      <c r="O188" s="43" t="s">
        <v>35</v>
      </c>
      <c r="P188" s="44"/>
      <c r="Q188" s="44" t="s">
        <v>36</v>
      </c>
      <c r="R188" s="36" t="s">
        <v>37</v>
      </c>
    </row>
    <row r="189" spans="1:32" s="27" customFormat="1" ht="59.25" customHeight="1" x14ac:dyDescent="0.2">
      <c r="A189" s="28"/>
      <c r="B189" s="45"/>
      <c r="C189" s="46" t="s">
        <v>38</v>
      </c>
      <c r="D189" s="47" t="s">
        <v>39</v>
      </c>
      <c r="E189" s="47" t="s">
        <v>40</v>
      </c>
      <c r="F189" s="28"/>
      <c r="G189" s="28"/>
      <c r="H189" s="28"/>
      <c r="I189" s="39"/>
      <c r="J189" s="48" t="s">
        <v>41</v>
      </c>
      <c r="K189" s="48" t="s">
        <v>42</v>
      </c>
      <c r="L189" s="43"/>
      <c r="M189" s="43"/>
      <c r="N189" s="43"/>
      <c r="O189" s="43"/>
      <c r="P189" s="49"/>
      <c r="Q189" s="49"/>
      <c r="R189" s="45"/>
    </row>
    <row r="190" spans="1:32" s="111" customFormat="1" ht="12" customHeight="1" x14ac:dyDescent="0.25">
      <c r="A190" s="126">
        <v>1</v>
      </c>
      <c r="B190" s="126">
        <v>2</v>
      </c>
      <c r="C190" s="126"/>
      <c r="D190" s="126">
        <v>3</v>
      </c>
      <c r="E190" s="126">
        <v>4</v>
      </c>
      <c r="F190" s="126">
        <v>5</v>
      </c>
      <c r="G190" s="50">
        <v>5.0999999999999996</v>
      </c>
      <c r="H190" s="126">
        <v>6</v>
      </c>
      <c r="I190" s="161">
        <v>7</v>
      </c>
      <c r="J190" s="161">
        <v>8</v>
      </c>
      <c r="K190" s="161">
        <v>9</v>
      </c>
      <c r="L190" s="161">
        <v>10</v>
      </c>
      <c r="M190" s="161">
        <v>11</v>
      </c>
      <c r="N190" s="161">
        <v>12</v>
      </c>
      <c r="O190" s="161">
        <v>13</v>
      </c>
      <c r="P190" s="161">
        <v>14</v>
      </c>
      <c r="Q190" s="161">
        <v>15</v>
      </c>
      <c r="R190" s="126">
        <v>16</v>
      </c>
    </row>
    <row r="191" spans="1:32" ht="23.25" x14ac:dyDescent="0.25">
      <c r="A191" s="59">
        <v>1</v>
      </c>
      <c r="B191" s="76" t="s">
        <v>144</v>
      </c>
      <c r="C191" s="113" t="s">
        <v>4</v>
      </c>
      <c r="D191" s="57">
        <v>0</v>
      </c>
      <c r="E191" s="57">
        <v>3.59</v>
      </c>
      <c r="F191" s="57">
        <v>3.59</v>
      </c>
      <c r="G191" s="57">
        <v>3.5</v>
      </c>
      <c r="H191" s="128" t="s">
        <v>44</v>
      </c>
      <c r="I191" s="58"/>
      <c r="J191" s="58"/>
      <c r="K191" s="58"/>
      <c r="L191" s="58"/>
      <c r="M191" s="58"/>
      <c r="N191" s="58"/>
      <c r="O191" s="58"/>
      <c r="P191" s="58"/>
      <c r="Q191" s="162">
        <v>80740010207</v>
      </c>
      <c r="R191" s="162">
        <v>80740010207</v>
      </c>
    </row>
    <row r="192" spans="1:32" ht="23.25" x14ac:dyDescent="0.25">
      <c r="A192" s="59">
        <v>2</v>
      </c>
      <c r="B192" s="76" t="s">
        <v>145</v>
      </c>
      <c r="C192" s="113" t="s">
        <v>4</v>
      </c>
      <c r="D192" s="57">
        <v>0</v>
      </c>
      <c r="E192" s="57">
        <v>2.95</v>
      </c>
      <c r="F192" s="57">
        <v>2.95</v>
      </c>
      <c r="G192" s="163">
        <v>5.8</v>
      </c>
      <c r="H192" s="160" t="s">
        <v>44</v>
      </c>
      <c r="I192" s="58"/>
      <c r="J192" s="58"/>
      <c r="K192" s="58"/>
      <c r="L192" s="58"/>
      <c r="M192" s="58"/>
      <c r="N192" s="58"/>
      <c r="O192" s="58"/>
      <c r="P192" s="58"/>
      <c r="Q192" s="162">
        <v>80740010007</v>
      </c>
      <c r="R192" s="164" t="s">
        <v>146</v>
      </c>
    </row>
    <row r="193" spans="1:18" ht="23.25" x14ac:dyDescent="0.25">
      <c r="A193" s="59">
        <v>3</v>
      </c>
      <c r="B193" s="76" t="s">
        <v>147</v>
      </c>
      <c r="C193" s="113" t="s">
        <v>4</v>
      </c>
      <c r="D193" s="57">
        <v>0</v>
      </c>
      <c r="E193" s="57">
        <v>5.46</v>
      </c>
      <c r="F193" s="57">
        <v>5.46</v>
      </c>
      <c r="G193" s="57">
        <v>5</v>
      </c>
      <c r="H193" s="128" t="s">
        <v>44</v>
      </c>
      <c r="I193" s="58"/>
      <c r="J193" s="58"/>
      <c r="K193" s="58"/>
      <c r="L193" s="58"/>
      <c r="M193" s="58"/>
      <c r="N193" s="58"/>
      <c r="O193" s="58"/>
      <c r="P193" s="58"/>
      <c r="Q193" s="162">
        <v>80740010208</v>
      </c>
      <c r="R193" s="164" t="s">
        <v>148</v>
      </c>
    </row>
    <row r="194" spans="1:18" ht="23.25" x14ac:dyDescent="0.25">
      <c r="A194" s="59">
        <v>4</v>
      </c>
      <c r="B194" s="76" t="s">
        <v>149</v>
      </c>
      <c r="C194" s="113" t="s">
        <v>4</v>
      </c>
      <c r="D194" s="57">
        <v>0</v>
      </c>
      <c r="E194" s="57">
        <v>2.84</v>
      </c>
      <c r="F194" s="57">
        <v>2.84</v>
      </c>
      <c r="G194" s="163">
        <v>5</v>
      </c>
      <c r="H194" s="160" t="s">
        <v>44</v>
      </c>
      <c r="I194" s="59" t="s">
        <v>150</v>
      </c>
      <c r="J194" s="55">
        <v>0.5</v>
      </c>
      <c r="K194" s="76" t="s">
        <v>151</v>
      </c>
      <c r="L194" s="55">
        <v>12.5</v>
      </c>
      <c r="M194" s="55">
        <v>84</v>
      </c>
      <c r="N194" s="58"/>
      <c r="O194" s="59" t="s">
        <v>152</v>
      </c>
      <c r="P194" s="58"/>
      <c r="Q194" s="162">
        <v>80740010205</v>
      </c>
      <c r="R194" s="162">
        <v>80740010205</v>
      </c>
    </row>
    <row r="195" spans="1:18" ht="34.5" x14ac:dyDescent="0.25">
      <c r="A195" s="59">
        <v>5</v>
      </c>
      <c r="B195" s="76" t="s">
        <v>153</v>
      </c>
      <c r="C195" s="113" t="s">
        <v>3</v>
      </c>
      <c r="D195" s="57">
        <v>0</v>
      </c>
      <c r="E195" s="57">
        <v>7.49</v>
      </c>
      <c r="F195" s="57">
        <v>7.49</v>
      </c>
      <c r="G195" s="57">
        <v>4.5</v>
      </c>
      <c r="H195" s="128" t="s">
        <v>44</v>
      </c>
      <c r="I195" s="59" t="s">
        <v>154</v>
      </c>
      <c r="J195" s="55">
        <v>7</v>
      </c>
      <c r="K195" s="76" t="s">
        <v>155</v>
      </c>
      <c r="L195" s="55">
        <v>24.09</v>
      </c>
      <c r="M195" s="55">
        <v>169</v>
      </c>
      <c r="N195" s="58"/>
      <c r="O195" s="59" t="s">
        <v>152</v>
      </c>
      <c r="P195" s="58"/>
      <c r="Q195" s="162">
        <v>80740010212</v>
      </c>
      <c r="R195" s="164" t="s">
        <v>156</v>
      </c>
    </row>
    <row r="196" spans="1:18" x14ac:dyDescent="0.25">
      <c r="A196" s="59">
        <v>6</v>
      </c>
      <c r="B196" s="76" t="s">
        <v>157</v>
      </c>
      <c r="C196" s="113" t="s">
        <v>4</v>
      </c>
      <c r="D196" s="57">
        <v>0</v>
      </c>
      <c r="E196" s="57">
        <v>0.87</v>
      </c>
      <c r="F196" s="57">
        <v>0.87</v>
      </c>
      <c r="G196" s="163">
        <v>4.5</v>
      </c>
      <c r="H196" s="160" t="s">
        <v>44</v>
      </c>
      <c r="I196" s="59"/>
      <c r="J196" s="55"/>
      <c r="K196" s="58"/>
      <c r="L196" s="55"/>
      <c r="M196" s="55"/>
      <c r="N196" s="58"/>
      <c r="O196" s="59"/>
      <c r="P196" s="58"/>
      <c r="Q196" s="162">
        <v>80740010213</v>
      </c>
      <c r="R196" s="162">
        <v>80740010213</v>
      </c>
    </row>
    <row r="197" spans="1:18" ht="23.25" x14ac:dyDescent="0.25">
      <c r="A197" s="59">
        <v>7</v>
      </c>
      <c r="B197" s="76" t="s">
        <v>158</v>
      </c>
      <c r="C197" s="113" t="s">
        <v>4</v>
      </c>
      <c r="D197" s="57">
        <v>0</v>
      </c>
      <c r="E197" s="57">
        <v>1.34</v>
      </c>
      <c r="F197" s="57">
        <v>1.34</v>
      </c>
      <c r="G197" s="57">
        <v>4</v>
      </c>
      <c r="H197" s="128" t="s">
        <v>44</v>
      </c>
      <c r="I197" s="59"/>
      <c r="J197" s="55"/>
      <c r="K197" s="58"/>
      <c r="L197" s="55"/>
      <c r="M197" s="55"/>
      <c r="N197" s="58"/>
      <c r="O197" s="59"/>
      <c r="P197" s="58"/>
      <c r="Q197" s="162">
        <v>80740030657</v>
      </c>
      <c r="R197" s="164" t="s">
        <v>159</v>
      </c>
    </row>
    <row r="198" spans="1:18" ht="34.5" x14ac:dyDescent="0.25">
      <c r="A198" s="59">
        <v>8</v>
      </c>
      <c r="B198" s="76" t="s">
        <v>160</v>
      </c>
      <c r="C198" s="113" t="s">
        <v>4</v>
      </c>
      <c r="D198" s="57">
        <v>0</v>
      </c>
      <c r="E198" s="57">
        <v>3.33</v>
      </c>
      <c r="F198" s="57">
        <v>3.33</v>
      </c>
      <c r="G198" s="163">
        <v>5</v>
      </c>
      <c r="H198" s="160" t="s">
        <v>44</v>
      </c>
      <c r="I198" s="59" t="s">
        <v>161</v>
      </c>
      <c r="J198" s="55">
        <v>2.8</v>
      </c>
      <c r="K198" s="76" t="s">
        <v>162</v>
      </c>
      <c r="L198" s="55">
        <v>25</v>
      </c>
      <c r="M198" s="55">
        <v>135</v>
      </c>
      <c r="N198" s="58"/>
      <c r="O198" s="59" t="s">
        <v>163</v>
      </c>
      <c r="P198" s="58"/>
      <c r="Q198" s="162">
        <v>80740040256</v>
      </c>
      <c r="R198" s="164" t="s">
        <v>164</v>
      </c>
    </row>
    <row r="199" spans="1:18" x14ac:dyDescent="0.25">
      <c r="A199" s="59">
        <v>9</v>
      </c>
      <c r="B199" s="76" t="s">
        <v>165</v>
      </c>
      <c r="C199" s="113" t="s">
        <v>4</v>
      </c>
      <c r="D199" s="57">
        <v>0</v>
      </c>
      <c r="E199" s="57">
        <v>3.65</v>
      </c>
      <c r="F199" s="57">
        <v>3.65</v>
      </c>
      <c r="G199" s="57">
        <v>5.2</v>
      </c>
      <c r="H199" s="128" t="s">
        <v>44</v>
      </c>
      <c r="I199" s="58"/>
      <c r="J199" s="58"/>
      <c r="K199" s="58"/>
      <c r="L199" s="58"/>
      <c r="M199" s="58"/>
      <c r="N199" s="58"/>
      <c r="O199" s="58"/>
      <c r="P199" s="58"/>
      <c r="Q199" s="162">
        <v>80740040257</v>
      </c>
      <c r="R199" s="162">
        <v>80740040257</v>
      </c>
    </row>
    <row r="200" spans="1:18" ht="23.25" x14ac:dyDescent="0.25">
      <c r="A200" s="52">
        <v>10</v>
      </c>
      <c r="B200" s="112" t="s">
        <v>166</v>
      </c>
      <c r="C200" s="113" t="s">
        <v>4</v>
      </c>
      <c r="D200" s="57">
        <v>0</v>
      </c>
      <c r="E200" s="57">
        <v>6.32</v>
      </c>
      <c r="F200" s="57">
        <v>6.32</v>
      </c>
      <c r="G200" s="163">
        <v>6</v>
      </c>
      <c r="H200" s="160" t="s">
        <v>44</v>
      </c>
      <c r="I200" s="58"/>
      <c r="J200" s="58"/>
      <c r="K200" s="58"/>
      <c r="L200" s="58"/>
      <c r="M200" s="58"/>
      <c r="N200" s="58"/>
      <c r="O200" s="58"/>
      <c r="P200" s="58"/>
      <c r="Q200" s="162">
        <v>80740060260</v>
      </c>
      <c r="R200" s="164" t="s">
        <v>167</v>
      </c>
    </row>
    <row r="201" spans="1:18" ht="23.25" x14ac:dyDescent="0.25">
      <c r="A201" s="52">
        <v>11</v>
      </c>
      <c r="B201" s="70" t="s">
        <v>168</v>
      </c>
      <c r="C201" s="165" t="s">
        <v>4</v>
      </c>
      <c r="D201" s="57">
        <v>0</v>
      </c>
      <c r="E201" s="57">
        <v>2.11</v>
      </c>
      <c r="F201" s="57">
        <v>2.11</v>
      </c>
      <c r="G201" s="57">
        <v>4.5</v>
      </c>
      <c r="H201" s="128" t="s">
        <v>44</v>
      </c>
      <c r="I201" s="58"/>
      <c r="J201" s="58"/>
      <c r="K201" s="58"/>
      <c r="L201" s="58"/>
      <c r="M201" s="58"/>
      <c r="N201" s="58"/>
      <c r="O201" s="58"/>
      <c r="P201" s="58"/>
      <c r="Q201" s="162">
        <v>80740060347</v>
      </c>
      <c r="R201" s="162">
        <v>80740060347</v>
      </c>
    </row>
    <row r="202" spans="1:18" x14ac:dyDescent="0.25">
      <c r="A202" s="62"/>
      <c r="B202" s="117"/>
      <c r="C202" s="165" t="s">
        <v>4</v>
      </c>
      <c r="D202" s="57">
        <v>2.11</v>
      </c>
      <c r="E202" s="57">
        <v>2.83</v>
      </c>
      <c r="F202" s="57">
        <f>E202-D202</f>
        <v>0.7200000000000002</v>
      </c>
      <c r="G202" s="57">
        <v>5</v>
      </c>
      <c r="H202" s="128" t="s">
        <v>44</v>
      </c>
      <c r="I202" s="58"/>
      <c r="J202" s="58"/>
      <c r="K202" s="58"/>
      <c r="L202" s="58"/>
      <c r="M202" s="58"/>
      <c r="N202" s="58"/>
      <c r="O202" s="58"/>
      <c r="P202" s="58"/>
      <c r="Q202" s="166" t="s">
        <v>49</v>
      </c>
      <c r="R202" s="164">
        <v>80740060346001</v>
      </c>
    </row>
    <row r="203" spans="1:18" x14ac:dyDescent="0.25">
      <c r="A203" s="62"/>
      <c r="B203" s="117"/>
      <c r="C203" s="165" t="s">
        <v>4</v>
      </c>
      <c r="D203" s="57">
        <v>2.83</v>
      </c>
      <c r="E203" s="57">
        <v>3.15</v>
      </c>
      <c r="F203" s="57">
        <v>0.32</v>
      </c>
      <c r="G203" s="57">
        <v>5</v>
      </c>
      <c r="H203" s="128" t="s">
        <v>44</v>
      </c>
      <c r="I203" s="58"/>
      <c r="J203" s="58"/>
      <c r="K203" s="58"/>
      <c r="L203" s="58"/>
      <c r="M203" s="58"/>
      <c r="N203" s="58"/>
      <c r="O203" s="58"/>
      <c r="P203" s="58"/>
      <c r="Q203" s="164">
        <v>80740060345</v>
      </c>
      <c r="R203" s="164">
        <v>80740060345</v>
      </c>
    </row>
    <row r="204" spans="1:18" x14ac:dyDescent="0.25">
      <c r="A204" s="62"/>
      <c r="B204" s="117"/>
      <c r="C204" s="165" t="s">
        <v>4</v>
      </c>
      <c r="D204" s="57">
        <v>0</v>
      </c>
      <c r="E204" s="57">
        <v>1.89</v>
      </c>
      <c r="F204" s="57">
        <v>1.89</v>
      </c>
      <c r="G204" s="57">
        <v>4</v>
      </c>
      <c r="H204" s="128" t="s">
        <v>44</v>
      </c>
      <c r="I204" s="58"/>
      <c r="J204" s="58"/>
      <c r="K204" s="58"/>
      <c r="L204" s="58"/>
      <c r="M204" s="58"/>
      <c r="N204" s="58"/>
      <c r="O204" s="58"/>
      <c r="P204" s="58"/>
      <c r="Q204" s="166" t="s">
        <v>49</v>
      </c>
      <c r="R204" s="164">
        <v>80740060346001</v>
      </c>
    </row>
    <row r="205" spans="1:18" x14ac:dyDescent="0.25">
      <c r="A205" s="67"/>
      <c r="B205" s="119"/>
      <c r="C205" s="165" t="s">
        <v>4</v>
      </c>
      <c r="D205" s="57">
        <v>1.89</v>
      </c>
      <c r="E205" s="57">
        <f>D205+F205</f>
        <v>3.36</v>
      </c>
      <c r="F205" s="57">
        <v>1.47</v>
      </c>
      <c r="G205" s="57">
        <v>4.5</v>
      </c>
      <c r="H205" s="128" t="s">
        <v>44</v>
      </c>
      <c r="I205" s="58"/>
      <c r="J205" s="58"/>
      <c r="K205" s="58"/>
      <c r="L205" s="58"/>
      <c r="M205" s="58"/>
      <c r="N205" s="58"/>
      <c r="O205" s="58"/>
      <c r="P205" s="58"/>
      <c r="Q205" s="164">
        <v>80740060344</v>
      </c>
      <c r="R205" s="164">
        <v>80740060344</v>
      </c>
    </row>
    <row r="206" spans="1:18" x14ac:dyDescent="0.25">
      <c r="A206" s="67">
        <v>12</v>
      </c>
      <c r="B206" s="120" t="s">
        <v>169</v>
      </c>
      <c r="C206" s="113" t="s">
        <v>4</v>
      </c>
      <c r="D206" s="57">
        <v>0</v>
      </c>
      <c r="E206" s="57">
        <v>2.0699999999999998</v>
      </c>
      <c r="F206" s="57">
        <v>2.0699999999999998</v>
      </c>
      <c r="G206" s="163">
        <v>4.5</v>
      </c>
      <c r="H206" s="160" t="s">
        <v>44</v>
      </c>
      <c r="I206" s="58"/>
      <c r="J206" s="58"/>
      <c r="K206" s="58"/>
      <c r="L206" s="58"/>
      <c r="M206" s="58"/>
      <c r="N206" s="58"/>
      <c r="O206" s="58"/>
      <c r="P206" s="58"/>
      <c r="Q206" s="162">
        <v>80740060256</v>
      </c>
      <c r="R206" s="162">
        <v>80740060256</v>
      </c>
    </row>
    <row r="207" spans="1:18" x14ac:dyDescent="0.25">
      <c r="A207" s="59">
        <v>13</v>
      </c>
      <c r="B207" s="76" t="s">
        <v>170</v>
      </c>
      <c r="C207" s="113" t="s">
        <v>4</v>
      </c>
      <c r="D207" s="57">
        <v>0</v>
      </c>
      <c r="E207" s="57">
        <v>1.66</v>
      </c>
      <c r="F207" s="57">
        <v>1.66</v>
      </c>
      <c r="G207" s="57">
        <v>5</v>
      </c>
      <c r="H207" s="128" t="s">
        <v>44</v>
      </c>
      <c r="I207" s="58"/>
      <c r="J207" s="58"/>
      <c r="K207" s="58"/>
      <c r="L207" s="58"/>
      <c r="M207" s="58"/>
      <c r="N207" s="58"/>
      <c r="O207" s="58"/>
      <c r="P207" s="58"/>
      <c r="Q207" s="162">
        <v>80740030666</v>
      </c>
      <c r="R207" s="162">
        <v>80740030666</v>
      </c>
    </row>
    <row r="208" spans="1:18" x14ac:dyDescent="0.25">
      <c r="A208" s="59">
        <v>14</v>
      </c>
      <c r="B208" s="76" t="s">
        <v>171</v>
      </c>
      <c r="C208" s="113" t="s">
        <v>4</v>
      </c>
      <c r="D208" s="57">
        <v>0</v>
      </c>
      <c r="E208" s="57">
        <v>2.04</v>
      </c>
      <c r="F208" s="57">
        <v>2.04</v>
      </c>
      <c r="G208" s="163">
        <v>4</v>
      </c>
      <c r="H208" s="160" t="s">
        <v>44</v>
      </c>
      <c r="I208" s="58"/>
      <c r="J208" s="58"/>
      <c r="K208" s="58"/>
      <c r="L208" s="58"/>
      <c r="M208" s="58"/>
      <c r="N208" s="58"/>
      <c r="O208" s="58"/>
      <c r="P208" s="58"/>
      <c r="Q208" s="162">
        <v>80740020081</v>
      </c>
      <c r="R208" s="162">
        <v>80740020081</v>
      </c>
    </row>
    <row r="209" spans="1:18" ht="23.25" x14ac:dyDescent="0.25">
      <c r="A209" s="59">
        <v>15</v>
      </c>
      <c r="B209" s="76" t="s">
        <v>172</v>
      </c>
      <c r="C209" s="113" t="s">
        <v>4</v>
      </c>
      <c r="D209" s="57">
        <v>0</v>
      </c>
      <c r="E209" s="57">
        <v>1.4</v>
      </c>
      <c r="F209" s="57">
        <v>1.4</v>
      </c>
      <c r="G209" s="57">
        <v>5.5</v>
      </c>
      <c r="H209" s="128" t="s">
        <v>44</v>
      </c>
      <c r="I209" s="58"/>
      <c r="J209" s="58"/>
      <c r="K209" s="58"/>
      <c r="L209" s="58"/>
      <c r="M209" s="58"/>
      <c r="N209" s="58"/>
      <c r="O209" s="58"/>
      <c r="P209" s="58"/>
      <c r="Q209" s="162">
        <v>80740050468</v>
      </c>
      <c r="R209" s="162">
        <v>80740050468</v>
      </c>
    </row>
    <row r="210" spans="1:18" ht="23.25" x14ac:dyDescent="0.25">
      <c r="A210" s="59">
        <v>16</v>
      </c>
      <c r="B210" s="76" t="s">
        <v>173</v>
      </c>
      <c r="C210" s="113" t="s">
        <v>3</v>
      </c>
      <c r="D210" s="57">
        <v>0</v>
      </c>
      <c r="E210" s="57">
        <v>8.2799999999999994</v>
      </c>
      <c r="F210" s="57">
        <v>8.2799999999999994</v>
      </c>
      <c r="G210" s="163">
        <v>6</v>
      </c>
      <c r="H210" s="160" t="s">
        <v>44</v>
      </c>
      <c r="I210" s="58"/>
      <c r="J210" s="58"/>
      <c r="K210" s="58"/>
      <c r="L210" s="58"/>
      <c r="M210" s="58"/>
      <c r="N210" s="58"/>
      <c r="O210" s="58"/>
      <c r="P210" s="58"/>
      <c r="Q210" s="162">
        <v>80740020111</v>
      </c>
      <c r="R210" s="164" t="s">
        <v>174</v>
      </c>
    </row>
    <row r="211" spans="1:18" x14ac:dyDescent="0.25">
      <c r="A211" s="59"/>
      <c r="B211" s="76"/>
      <c r="C211" s="113" t="s">
        <v>4</v>
      </c>
      <c r="D211" s="57">
        <v>8.2799999999999994</v>
      </c>
      <c r="E211" s="57">
        <f>D211+F211</f>
        <v>9.6</v>
      </c>
      <c r="F211" s="57">
        <v>1.32</v>
      </c>
      <c r="G211" s="137">
        <v>3.5</v>
      </c>
      <c r="H211" s="155" t="s">
        <v>46</v>
      </c>
      <c r="I211" s="58"/>
      <c r="J211" s="58"/>
      <c r="K211" s="58"/>
      <c r="L211" s="58"/>
      <c r="M211" s="58"/>
      <c r="N211" s="58"/>
      <c r="O211" s="58"/>
      <c r="P211" s="58"/>
      <c r="Q211" s="162"/>
      <c r="R211" s="162">
        <v>80740020111</v>
      </c>
    </row>
    <row r="212" spans="1:18" x14ac:dyDescent="0.25">
      <c r="A212" s="59">
        <v>17</v>
      </c>
      <c r="B212" s="76" t="s">
        <v>175</v>
      </c>
      <c r="C212" s="113" t="s">
        <v>4</v>
      </c>
      <c r="D212" s="57">
        <v>0</v>
      </c>
      <c r="E212" s="57">
        <v>2.62</v>
      </c>
      <c r="F212" s="57">
        <v>2.62</v>
      </c>
      <c r="G212" s="57">
        <v>6</v>
      </c>
      <c r="H212" s="128" t="s">
        <v>44</v>
      </c>
      <c r="I212" s="58"/>
      <c r="J212" s="58"/>
      <c r="K212" s="58"/>
      <c r="L212" s="58"/>
      <c r="M212" s="58"/>
      <c r="N212" s="58"/>
      <c r="O212" s="58"/>
      <c r="P212" s="58"/>
      <c r="Q212" s="162">
        <v>80740050273</v>
      </c>
      <c r="R212" s="162">
        <v>80740050294</v>
      </c>
    </row>
    <row r="213" spans="1:18" ht="23.25" x14ac:dyDescent="0.25">
      <c r="A213" s="59">
        <v>18</v>
      </c>
      <c r="B213" s="76" t="s">
        <v>176</v>
      </c>
      <c r="C213" s="113" t="s">
        <v>4</v>
      </c>
      <c r="D213" s="57">
        <v>0</v>
      </c>
      <c r="E213" s="57">
        <v>0.84</v>
      </c>
      <c r="F213" s="57">
        <v>0.84</v>
      </c>
      <c r="G213" s="163">
        <v>3</v>
      </c>
      <c r="H213" s="160" t="s">
        <v>44</v>
      </c>
      <c r="I213" s="58"/>
      <c r="J213" s="58"/>
      <c r="K213" s="58"/>
      <c r="L213" s="58"/>
      <c r="M213" s="58"/>
      <c r="N213" s="58"/>
      <c r="O213" s="58"/>
      <c r="P213" s="58"/>
      <c r="Q213" s="162">
        <v>80740050623</v>
      </c>
      <c r="R213" s="164" t="s">
        <v>177</v>
      </c>
    </row>
    <row r="214" spans="1:18" x14ac:dyDescent="0.25">
      <c r="A214" s="59">
        <v>19</v>
      </c>
      <c r="B214" s="76" t="s">
        <v>178</v>
      </c>
      <c r="C214" s="113" t="s">
        <v>4</v>
      </c>
      <c r="D214" s="57">
        <v>0</v>
      </c>
      <c r="E214" s="57">
        <v>0.34</v>
      </c>
      <c r="F214" s="57">
        <v>0.34</v>
      </c>
      <c r="G214" s="57">
        <v>4.5</v>
      </c>
      <c r="H214" s="128" t="s">
        <v>44</v>
      </c>
      <c r="I214" s="58"/>
      <c r="J214" s="58"/>
      <c r="K214" s="58"/>
      <c r="L214" s="58"/>
      <c r="M214" s="58"/>
      <c r="N214" s="58"/>
      <c r="O214" s="58"/>
      <c r="P214" s="58"/>
      <c r="Q214" s="162">
        <v>80740050475</v>
      </c>
      <c r="R214" s="162">
        <v>80740050475</v>
      </c>
    </row>
    <row r="215" spans="1:18" ht="34.5" x14ac:dyDescent="0.25">
      <c r="A215" s="59">
        <v>20</v>
      </c>
      <c r="B215" s="76" t="s">
        <v>179</v>
      </c>
      <c r="C215" s="113" t="s">
        <v>3</v>
      </c>
      <c r="D215" s="57">
        <v>0</v>
      </c>
      <c r="E215" s="57">
        <v>6.83</v>
      </c>
      <c r="F215" s="57">
        <v>6.83</v>
      </c>
      <c r="G215" s="163">
        <v>5.5</v>
      </c>
      <c r="H215" s="160" t="s">
        <v>44</v>
      </c>
      <c r="I215" s="58"/>
      <c r="J215" s="58"/>
      <c r="K215" s="58"/>
      <c r="L215" s="58"/>
      <c r="M215" s="58"/>
      <c r="N215" s="58"/>
      <c r="O215" s="58"/>
      <c r="P215" s="58"/>
      <c r="Q215" s="162">
        <v>80740050305</v>
      </c>
      <c r="R215" s="164" t="s">
        <v>180</v>
      </c>
    </row>
    <row r="216" spans="1:18" ht="23.25" x14ac:dyDescent="0.25">
      <c r="A216" s="59">
        <v>21</v>
      </c>
      <c r="B216" s="76" t="s">
        <v>181</v>
      </c>
      <c r="C216" s="113" t="s">
        <v>4</v>
      </c>
      <c r="D216" s="57">
        <v>0</v>
      </c>
      <c r="E216" s="57">
        <v>2.29</v>
      </c>
      <c r="F216" s="57">
        <v>2.29</v>
      </c>
      <c r="G216" s="57">
        <v>4</v>
      </c>
      <c r="H216" s="128" t="s">
        <v>44</v>
      </c>
      <c r="I216" s="58"/>
      <c r="J216" s="58"/>
      <c r="K216" s="58"/>
      <c r="L216" s="58"/>
      <c r="M216" s="58"/>
      <c r="N216" s="58"/>
      <c r="O216" s="58"/>
      <c r="P216" s="58"/>
      <c r="Q216" s="162">
        <v>80740050313</v>
      </c>
      <c r="R216" s="164" t="s">
        <v>182</v>
      </c>
    </row>
    <row r="217" spans="1:18" ht="23.25" x14ac:dyDescent="0.25">
      <c r="A217" s="59">
        <v>22</v>
      </c>
      <c r="B217" s="76" t="s">
        <v>183</v>
      </c>
      <c r="C217" s="113" t="s">
        <v>4</v>
      </c>
      <c r="D217" s="57">
        <v>0</v>
      </c>
      <c r="E217" s="57">
        <v>0.63</v>
      </c>
      <c r="F217" s="57">
        <v>0.63</v>
      </c>
      <c r="G217" s="163">
        <v>4.5</v>
      </c>
      <c r="H217" s="160" t="s">
        <v>44</v>
      </c>
      <c r="I217" s="58"/>
      <c r="J217" s="58"/>
      <c r="K217" s="58"/>
      <c r="L217" s="58"/>
      <c r="M217" s="58"/>
      <c r="N217" s="58"/>
      <c r="O217" s="58"/>
      <c r="P217" s="58"/>
      <c r="Q217" s="162">
        <v>80740050427</v>
      </c>
      <c r="R217" s="162">
        <v>80740050427</v>
      </c>
    </row>
    <row r="218" spans="1:18" ht="34.5" x14ac:dyDescent="0.25">
      <c r="A218" s="59">
        <v>23</v>
      </c>
      <c r="B218" s="76" t="s">
        <v>184</v>
      </c>
      <c r="C218" s="113" t="s">
        <v>4</v>
      </c>
      <c r="D218" s="57">
        <v>0</v>
      </c>
      <c r="E218" s="57">
        <v>2.14</v>
      </c>
      <c r="F218" s="57">
        <v>2.14</v>
      </c>
      <c r="G218" s="57">
        <v>4</v>
      </c>
      <c r="H218" s="128" t="s">
        <v>44</v>
      </c>
      <c r="I218" s="58"/>
      <c r="J218" s="58"/>
      <c r="K218" s="58"/>
      <c r="L218" s="58"/>
      <c r="M218" s="58"/>
      <c r="N218" s="58"/>
      <c r="O218" s="58"/>
      <c r="P218" s="58"/>
      <c r="Q218" s="162">
        <v>80740060259</v>
      </c>
      <c r="R218" s="164" t="s">
        <v>185</v>
      </c>
    </row>
    <row r="219" spans="1:18" x14ac:dyDescent="0.25">
      <c r="A219" s="59">
        <v>24</v>
      </c>
      <c r="B219" s="76" t="s">
        <v>186</v>
      </c>
      <c r="C219" s="113" t="s">
        <v>4</v>
      </c>
      <c r="D219" s="57">
        <v>0</v>
      </c>
      <c r="E219" s="57">
        <v>1.4</v>
      </c>
      <c r="F219" s="57">
        <v>1.4</v>
      </c>
      <c r="G219" s="163">
        <v>3</v>
      </c>
      <c r="H219" s="160" t="s">
        <v>44</v>
      </c>
      <c r="I219" s="58"/>
      <c r="J219" s="58"/>
      <c r="K219" s="58"/>
      <c r="L219" s="58"/>
      <c r="M219" s="58"/>
      <c r="N219" s="58"/>
      <c r="O219" s="58"/>
      <c r="P219" s="58"/>
      <c r="Q219" s="162">
        <v>80740010204</v>
      </c>
      <c r="R219" s="162">
        <v>80740010204</v>
      </c>
    </row>
    <row r="220" spans="1:18" x14ac:dyDescent="0.25">
      <c r="A220" s="59">
        <v>25</v>
      </c>
      <c r="B220" s="76" t="s">
        <v>187</v>
      </c>
      <c r="C220" s="113" t="s">
        <v>4</v>
      </c>
      <c r="D220" s="57">
        <v>0</v>
      </c>
      <c r="E220" s="57">
        <v>0.79</v>
      </c>
      <c r="F220" s="57">
        <v>0.79</v>
      </c>
      <c r="G220" s="57">
        <v>4</v>
      </c>
      <c r="H220" s="128" t="s">
        <v>44</v>
      </c>
      <c r="I220" s="58"/>
      <c r="J220" s="58"/>
      <c r="K220" s="58"/>
      <c r="L220" s="58"/>
      <c r="M220" s="58"/>
      <c r="N220" s="58"/>
      <c r="O220" s="58"/>
      <c r="P220" s="58"/>
      <c r="Q220" s="162">
        <v>80740010209</v>
      </c>
      <c r="R220" s="162">
        <v>80740010209</v>
      </c>
    </row>
    <row r="221" spans="1:18" ht="23.25" x14ac:dyDescent="0.25">
      <c r="A221" s="59">
        <v>26</v>
      </c>
      <c r="B221" s="76" t="s">
        <v>188</v>
      </c>
      <c r="C221" s="113" t="s">
        <v>4</v>
      </c>
      <c r="D221" s="57">
        <v>0</v>
      </c>
      <c r="E221" s="57">
        <v>1.78</v>
      </c>
      <c r="F221" s="57">
        <v>1.78</v>
      </c>
      <c r="G221" s="163">
        <v>3.5</v>
      </c>
      <c r="H221" s="160" t="s">
        <v>44</v>
      </c>
      <c r="I221" s="58"/>
      <c r="J221" s="58"/>
      <c r="K221" s="58"/>
      <c r="L221" s="58"/>
      <c r="M221" s="58"/>
      <c r="N221" s="58"/>
      <c r="O221" s="58"/>
      <c r="P221" s="58"/>
      <c r="Q221" s="162">
        <v>80740050473</v>
      </c>
      <c r="R221" s="162">
        <v>80740050473</v>
      </c>
    </row>
    <row r="222" spans="1:18" ht="23.25" x14ac:dyDescent="0.25">
      <c r="A222" s="59">
        <v>27</v>
      </c>
      <c r="B222" s="76" t="s">
        <v>189</v>
      </c>
      <c r="C222" s="113" t="s">
        <v>4</v>
      </c>
      <c r="D222" s="57">
        <v>0</v>
      </c>
      <c r="E222" s="57">
        <v>0.41</v>
      </c>
      <c r="F222" s="57">
        <v>0.41</v>
      </c>
      <c r="G222" s="57">
        <v>3.5</v>
      </c>
      <c r="H222" s="128" t="s">
        <v>44</v>
      </c>
      <c r="I222" s="58"/>
      <c r="J222" s="58"/>
      <c r="K222" s="58"/>
      <c r="L222" s="58"/>
      <c r="M222" s="58"/>
      <c r="N222" s="58"/>
      <c r="O222" s="58"/>
      <c r="P222" s="58"/>
      <c r="Q222" s="162">
        <v>80740050464</v>
      </c>
      <c r="R222" s="162">
        <v>80740050464</v>
      </c>
    </row>
    <row r="223" spans="1:18" ht="23.25" x14ac:dyDescent="0.25">
      <c r="A223" s="59">
        <v>28</v>
      </c>
      <c r="B223" s="76" t="s">
        <v>190</v>
      </c>
      <c r="C223" s="113" t="s">
        <v>4</v>
      </c>
      <c r="D223" s="57">
        <v>0</v>
      </c>
      <c r="E223" s="57">
        <v>0.54</v>
      </c>
      <c r="F223" s="57">
        <v>0.54</v>
      </c>
      <c r="G223" s="163">
        <v>3.5</v>
      </c>
      <c r="H223" s="160" t="s">
        <v>44</v>
      </c>
      <c r="I223" s="58"/>
      <c r="J223" s="58"/>
      <c r="K223" s="58"/>
      <c r="L223" s="58"/>
      <c r="M223" s="58"/>
      <c r="N223" s="58"/>
      <c r="O223" s="58"/>
      <c r="P223" s="58"/>
      <c r="Q223" s="162">
        <v>80740050404</v>
      </c>
      <c r="R223" s="164" t="s">
        <v>191</v>
      </c>
    </row>
    <row r="224" spans="1:18" x14ac:dyDescent="0.25">
      <c r="A224" s="59">
        <v>29</v>
      </c>
      <c r="B224" s="76" t="s">
        <v>192</v>
      </c>
      <c r="C224" s="113" t="s">
        <v>4</v>
      </c>
      <c r="D224" s="57">
        <v>0</v>
      </c>
      <c r="E224" s="57">
        <v>0.77</v>
      </c>
      <c r="F224" s="57">
        <v>0.77</v>
      </c>
      <c r="G224" s="57">
        <v>3.5</v>
      </c>
      <c r="H224" s="128" t="s">
        <v>44</v>
      </c>
      <c r="I224" s="58"/>
      <c r="J224" s="58"/>
      <c r="K224" s="58"/>
      <c r="L224" s="58"/>
      <c r="M224" s="58"/>
      <c r="N224" s="58"/>
      <c r="O224" s="58"/>
      <c r="P224" s="58"/>
      <c r="Q224" s="162">
        <v>80740060258</v>
      </c>
      <c r="R224" s="162">
        <v>80740060258</v>
      </c>
    </row>
    <row r="225" spans="1:32" x14ac:dyDescent="0.25">
      <c r="A225" s="59">
        <v>30</v>
      </c>
      <c r="B225" s="76" t="s">
        <v>193</v>
      </c>
      <c r="C225" s="113" t="s">
        <v>4</v>
      </c>
      <c r="D225" s="57">
        <v>0</v>
      </c>
      <c r="E225" s="57">
        <v>1.3</v>
      </c>
      <c r="F225" s="57">
        <v>1.3</v>
      </c>
      <c r="G225" s="163">
        <v>4</v>
      </c>
      <c r="H225" s="160" t="s">
        <v>44</v>
      </c>
      <c r="I225" s="58"/>
      <c r="J225" s="58"/>
      <c r="K225" s="58"/>
      <c r="L225" s="58"/>
      <c r="M225" s="58"/>
      <c r="N225" s="58"/>
      <c r="O225" s="58"/>
      <c r="P225" s="58"/>
      <c r="Q225" s="162">
        <v>80740030656</v>
      </c>
      <c r="R225" s="162">
        <v>80740030656</v>
      </c>
    </row>
    <row r="226" spans="1:32" ht="23.25" x14ac:dyDescent="0.25">
      <c r="A226" s="59">
        <v>31</v>
      </c>
      <c r="B226" s="76" t="s">
        <v>194</v>
      </c>
      <c r="C226" s="113" t="s">
        <v>4</v>
      </c>
      <c r="D226" s="57">
        <v>0</v>
      </c>
      <c r="E226" s="57">
        <v>0.67</v>
      </c>
      <c r="F226" s="57">
        <v>0.67</v>
      </c>
      <c r="G226" s="57">
        <v>4.3</v>
      </c>
      <c r="H226" s="128" t="s">
        <v>44</v>
      </c>
      <c r="I226" s="58"/>
      <c r="J226" s="58"/>
      <c r="K226" s="58"/>
      <c r="L226" s="58"/>
      <c r="M226" s="58"/>
      <c r="N226" s="58"/>
      <c r="O226" s="58"/>
      <c r="P226" s="58"/>
      <c r="Q226" s="162"/>
      <c r="R226" s="162">
        <v>80740050046011</v>
      </c>
    </row>
    <row r="227" spans="1:32" x14ac:dyDescent="0.25">
      <c r="A227" s="167"/>
      <c r="B227" s="76"/>
      <c r="C227" s="113" t="s">
        <v>4</v>
      </c>
      <c r="D227" s="57">
        <v>0.67</v>
      </c>
      <c r="E227" s="57">
        <f>D227+F227</f>
        <v>1.46</v>
      </c>
      <c r="F227" s="57">
        <v>0.79</v>
      </c>
      <c r="G227" s="163">
        <v>4.5</v>
      </c>
      <c r="H227" s="160" t="s">
        <v>44</v>
      </c>
      <c r="I227" s="58"/>
      <c r="J227" s="58"/>
      <c r="K227" s="58"/>
      <c r="L227" s="58"/>
      <c r="M227" s="58"/>
      <c r="N227" s="58"/>
      <c r="O227" s="58"/>
      <c r="P227" s="58"/>
      <c r="Q227" s="162"/>
      <c r="R227" s="162">
        <v>80740050446001</v>
      </c>
    </row>
    <row r="228" spans="1:32" ht="23.25" x14ac:dyDescent="0.25">
      <c r="A228" s="59">
        <v>32</v>
      </c>
      <c r="B228" s="76" t="s">
        <v>195</v>
      </c>
      <c r="C228" s="113" t="s">
        <v>4</v>
      </c>
      <c r="D228" s="57">
        <v>0</v>
      </c>
      <c r="E228" s="57">
        <v>2.34</v>
      </c>
      <c r="F228" s="57">
        <v>2.34</v>
      </c>
      <c r="G228" s="57">
        <v>5</v>
      </c>
      <c r="H228" s="128" t="s">
        <v>44</v>
      </c>
      <c r="I228" s="58"/>
      <c r="J228" s="58"/>
      <c r="K228" s="58"/>
      <c r="L228" s="58"/>
      <c r="M228" s="58"/>
      <c r="N228" s="58"/>
      <c r="O228" s="58"/>
      <c r="P228" s="58"/>
      <c r="Q228" s="162">
        <v>80740050371</v>
      </c>
      <c r="R228" s="162">
        <v>80740050371</v>
      </c>
    </row>
    <row r="229" spans="1:32" ht="23.25" x14ac:dyDescent="0.25">
      <c r="A229" s="59">
        <v>33</v>
      </c>
      <c r="B229" s="76" t="s">
        <v>196</v>
      </c>
      <c r="C229" s="113" t="s">
        <v>3</v>
      </c>
      <c r="D229" s="57">
        <v>0</v>
      </c>
      <c r="E229" s="57">
        <v>1.33</v>
      </c>
      <c r="F229" s="57">
        <v>1.33</v>
      </c>
      <c r="G229" s="163">
        <v>3</v>
      </c>
      <c r="H229" s="160" t="s">
        <v>44</v>
      </c>
      <c r="I229" s="58"/>
      <c r="J229" s="58"/>
      <c r="K229" s="58"/>
      <c r="L229" s="58"/>
      <c r="M229" s="58"/>
      <c r="N229" s="58"/>
      <c r="O229" s="58"/>
      <c r="P229" s="58"/>
      <c r="Q229" s="162"/>
      <c r="R229" s="162">
        <v>80740010510001</v>
      </c>
    </row>
    <row r="230" spans="1:32" x14ac:dyDescent="0.25">
      <c r="A230" s="167"/>
      <c r="B230" s="76"/>
      <c r="C230" s="113" t="s">
        <v>3</v>
      </c>
      <c r="D230" s="57">
        <v>1.33</v>
      </c>
      <c r="E230" s="57">
        <v>1.74</v>
      </c>
      <c r="F230" s="57">
        <v>0.40999999999999992</v>
      </c>
      <c r="G230" s="57">
        <v>4.5</v>
      </c>
      <c r="H230" s="58" t="s">
        <v>59</v>
      </c>
      <c r="I230" s="58"/>
      <c r="J230" s="58"/>
      <c r="K230" s="58"/>
      <c r="L230" s="58"/>
      <c r="M230" s="58"/>
      <c r="N230" s="58"/>
      <c r="O230" s="58"/>
      <c r="P230" s="58"/>
      <c r="Q230" s="162"/>
      <c r="R230" s="162">
        <v>80740010510001</v>
      </c>
    </row>
    <row r="231" spans="1:32" ht="23.25" x14ac:dyDescent="0.25">
      <c r="A231" s="59">
        <v>34</v>
      </c>
      <c r="B231" s="76" t="s">
        <v>197</v>
      </c>
      <c r="C231" s="113" t="s">
        <v>4</v>
      </c>
      <c r="D231" s="57">
        <v>0</v>
      </c>
      <c r="E231" s="57">
        <v>0.84</v>
      </c>
      <c r="F231" s="57">
        <v>0.84</v>
      </c>
      <c r="G231" s="57">
        <v>3.5</v>
      </c>
      <c r="H231" s="128" t="s">
        <v>44</v>
      </c>
      <c r="I231" s="58"/>
      <c r="J231" s="58"/>
      <c r="K231" s="58"/>
      <c r="L231" s="58"/>
      <c r="M231" s="58"/>
      <c r="N231" s="58"/>
      <c r="O231" s="58"/>
      <c r="P231" s="58"/>
      <c r="Q231" s="162">
        <v>80740040149</v>
      </c>
      <c r="R231" s="162">
        <v>80740040149</v>
      </c>
    </row>
    <row r="232" spans="1:32" ht="23.25" x14ac:dyDescent="0.25">
      <c r="A232" s="59">
        <v>35</v>
      </c>
      <c r="B232" s="76" t="s">
        <v>198</v>
      </c>
      <c r="C232" s="113" t="s">
        <v>4</v>
      </c>
      <c r="D232" s="57">
        <v>0</v>
      </c>
      <c r="E232" s="57">
        <v>0.89</v>
      </c>
      <c r="F232" s="57">
        <v>0.89</v>
      </c>
      <c r="G232" s="163">
        <v>4</v>
      </c>
      <c r="H232" s="160" t="s">
        <v>44</v>
      </c>
      <c r="I232" s="58"/>
      <c r="J232" s="58"/>
      <c r="K232" s="58"/>
      <c r="L232" s="58"/>
      <c r="M232" s="58"/>
      <c r="N232" s="58"/>
      <c r="O232" s="58"/>
      <c r="P232" s="58"/>
      <c r="Q232" s="162">
        <v>80740050304</v>
      </c>
      <c r="R232" s="162">
        <v>80740050304</v>
      </c>
    </row>
    <row r="233" spans="1:32" ht="23.25" x14ac:dyDescent="0.25">
      <c r="A233" s="59">
        <v>36</v>
      </c>
      <c r="B233" s="76" t="s">
        <v>199</v>
      </c>
      <c r="C233" s="113" t="s">
        <v>4</v>
      </c>
      <c r="D233" s="57">
        <v>0</v>
      </c>
      <c r="E233" s="57">
        <v>0.34</v>
      </c>
      <c r="F233" s="57">
        <v>0.34</v>
      </c>
      <c r="G233" s="57">
        <v>4</v>
      </c>
      <c r="H233" s="128" t="s">
        <v>44</v>
      </c>
      <c r="I233" s="58"/>
      <c r="J233" s="58"/>
      <c r="K233" s="58"/>
      <c r="L233" s="58"/>
      <c r="M233" s="58"/>
      <c r="N233" s="58"/>
      <c r="O233" s="58"/>
      <c r="P233" s="58"/>
      <c r="Q233" s="162">
        <v>80740060251</v>
      </c>
      <c r="R233" s="162">
        <v>80740060251</v>
      </c>
      <c r="V233" s="168"/>
    </row>
    <row r="234" spans="1:32" x14ac:dyDescent="0.25">
      <c r="A234" s="59">
        <v>37</v>
      </c>
      <c r="B234" s="76" t="s">
        <v>200</v>
      </c>
      <c r="C234" s="113" t="s">
        <v>4</v>
      </c>
      <c r="D234" s="57">
        <v>0</v>
      </c>
      <c r="E234" s="57">
        <v>1.2</v>
      </c>
      <c r="F234" s="57">
        <v>1.2</v>
      </c>
      <c r="G234" s="163">
        <v>3</v>
      </c>
      <c r="H234" s="160" t="s">
        <v>44</v>
      </c>
      <c r="I234" s="58"/>
      <c r="J234" s="58"/>
      <c r="K234" s="58"/>
      <c r="L234" s="58"/>
      <c r="M234" s="58"/>
      <c r="N234" s="58"/>
      <c r="O234" s="58"/>
      <c r="P234" s="58"/>
      <c r="Q234" s="162">
        <v>80740030886</v>
      </c>
      <c r="R234" s="162">
        <v>80740030886</v>
      </c>
      <c r="V234" s="168"/>
    </row>
    <row r="235" spans="1:32" ht="23.25" x14ac:dyDescent="0.25">
      <c r="A235" s="59">
        <v>38</v>
      </c>
      <c r="B235" s="76" t="s">
        <v>201</v>
      </c>
      <c r="C235" s="113" t="s">
        <v>4</v>
      </c>
      <c r="D235" s="57">
        <v>0</v>
      </c>
      <c r="E235" s="57">
        <v>0.45</v>
      </c>
      <c r="F235" s="57">
        <v>0.45</v>
      </c>
      <c r="G235" s="57">
        <v>3.5</v>
      </c>
      <c r="H235" s="128" t="s">
        <v>44</v>
      </c>
      <c r="I235" s="58"/>
      <c r="J235" s="58"/>
      <c r="K235" s="58"/>
      <c r="L235" s="58"/>
      <c r="M235" s="58"/>
      <c r="N235" s="58"/>
      <c r="O235" s="58"/>
      <c r="P235" s="58"/>
      <c r="Q235" s="162"/>
      <c r="R235" s="162">
        <v>80740050191001</v>
      </c>
      <c r="AA235" t="s">
        <v>70</v>
      </c>
    </row>
    <row r="236" spans="1:32" ht="23.25" x14ac:dyDescent="0.25">
      <c r="C236" s="107"/>
      <c r="K236" s="78" t="s">
        <v>71</v>
      </c>
      <c r="L236" s="81">
        <f>SUM(L191:L235)</f>
        <v>61.59</v>
      </c>
      <c r="M236" s="81">
        <f>SUM(M191:M235)</f>
        <v>388</v>
      </c>
      <c r="N236" s="80"/>
      <c r="O236" s="78" t="s">
        <v>72</v>
      </c>
      <c r="P236" s="81">
        <f>SUM(P191:P235)</f>
        <v>0</v>
      </c>
      <c r="S236" s="82"/>
      <c r="T236" s="83" t="s">
        <v>73</v>
      </c>
      <c r="U236" s="83" t="s">
        <v>74</v>
      </c>
      <c r="V236" s="83" t="s">
        <v>75</v>
      </c>
      <c r="W236" s="83" t="s">
        <v>76</v>
      </c>
      <c r="X236" s="83" t="s">
        <v>77</v>
      </c>
      <c r="Y236" s="84" t="s">
        <v>72</v>
      </c>
      <c r="Z236" s="82"/>
      <c r="AA236" s="83" t="s">
        <v>73</v>
      </c>
      <c r="AB236" s="83" t="s">
        <v>74</v>
      </c>
      <c r="AC236" s="83" t="s">
        <v>75</v>
      </c>
      <c r="AD236" s="83" t="s">
        <v>76</v>
      </c>
      <c r="AE236" s="83" t="s">
        <v>77</v>
      </c>
      <c r="AF236" s="84" t="s">
        <v>72</v>
      </c>
    </row>
    <row r="237" spans="1:32" s="1" customFormat="1" ht="11.25" x14ac:dyDescent="0.2">
      <c r="A237" s="85" t="s">
        <v>202</v>
      </c>
      <c r="B237" s="86"/>
      <c r="C237" s="86"/>
      <c r="D237" s="87"/>
      <c r="E237" s="87"/>
      <c r="F237" s="81">
        <f>SUM(F191:F235)</f>
        <v>93.060000000000016</v>
      </c>
      <c r="G237" s="88"/>
      <c r="H237" s="89"/>
      <c r="I237" s="27"/>
      <c r="J237" s="90"/>
      <c r="Q237" s="80"/>
      <c r="S237" s="91" t="s">
        <v>38</v>
      </c>
      <c r="T237" s="83" t="s">
        <v>41</v>
      </c>
      <c r="U237" s="83" t="s">
        <v>41</v>
      </c>
      <c r="V237" s="83" t="s">
        <v>41</v>
      </c>
      <c r="W237" s="83" t="s">
        <v>41</v>
      </c>
      <c r="X237" s="83" t="s">
        <v>41</v>
      </c>
      <c r="Y237" s="84" t="s">
        <v>41</v>
      </c>
      <c r="Z237" s="91"/>
      <c r="AA237" s="83" t="s">
        <v>41</v>
      </c>
      <c r="AB237" s="83" t="s">
        <v>41</v>
      </c>
      <c r="AC237" s="83" t="s">
        <v>41</v>
      </c>
      <c r="AD237" s="83" t="s">
        <v>41</v>
      </c>
      <c r="AE237" s="83" t="s">
        <v>41</v>
      </c>
      <c r="AF237" s="84" t="s">
        <v>41</v>
      </c>
    </row>
    <row r="238" spans="1:32" s="1" customFormat="1" ht="11.25" x14ac:dyDescent="0.2">
      <c r="A238" s="92" t="s">
        <v>79</v>
      </c>
      <c r="B238" s="93"/>
      <c r="C238" s="93"/>
      <c r="D238" s="94"/>
      <c r="E238" s="94"/>
      <c r="F238" s="169">
        <f>SUMIFS(F191:F235,H191:H235,"melnais")</f>
        <v>0.40999999999999992</v>
      </c>
      <c r="G238" s="168"/>
      <c r="H238" s="97"/>
      <c r="I238" s="170"/>
      <c r="J238" s="80"/>
      <c r="K238" s="80"/>
      <c r="L238" s="99"/>
      <c r="M238" s="99"/>
      <c r="N238" s="80"/>
      <c r="O238" s="80"/>
      <c r="P238" s="80"/>
      <c r="Q238" s="80"/>
      <c r="S238" s="100" t="s">
        <v>1</v>
      </c>
      <c r="T238" s="101">
        <f>SUMIFS(F191:F235,C191:C235,"A",H191:H235,"melnais")</f>
        <v>0</v>
      </c>
      <c r="U238" s="101">
        <f>SUMIFS(F191:F235,C191:C235,"A",H191:H235,"dubultā virsma")</f>
        <v>0</v>
      </c>
      <c r="V238" s="101">
        <f>SUMIFS(F191:F235,C191:C235,"A",H191:H235,"bruģis")</f>
        <v>0</v>
      </c>
      <c r="W238" s="101">
        <f>SUMIFS(F191:F235,C191:C235,"A",H191:H235,"grants")</f>
        <v>0</v>
      </c>
      <c r="X238" s="101">
        <f>SUMIFS(F191:F235,C191:C235,"A",H191:H235,"cits segums")</f>
        <v>0</v>
      </c>
      <c r="Y238" s="101">
        <f>SUM(T238:X238)</f>
        <v>0</v>
      </c>
      <c r="Z238" s="100" t="s">
        <v>1</v>
      </c>
      <c r="AA238" s="102">
        <f>SUMIFS(F191:F235,C191:C235,"A",H191:H235,"melnais", Q191:Q235,"Nepiederošs")</f>
        <v>0</v>
      </c>
      <c r="AB238" s="102">
        <f>SUMIFS(F191:F235,C191:C235,"A",H191:H235,"dubultā virsma", Q191:Q235,"Nepiederošs")</f>
        <v>0</v>
      </c>
      <c r="AC238" s="102">
        <f>SUMIFS(F191:F235,C191:C235,"A",H191:H235,"bruģis", Q191:Q235,"Nepiederošs")</f>
        <v>0</v>
      </c>
      <c r="AD238" s="102">
        <f>SUMIFS(F191:F235,C191:C235,"A",H191:H235,"grants", Q191:Q235,"Nepiederošs")</f>
        <v>0</v>
      </c>
      <c r="AE238" s="102">
        <f>SUMIFS(F191:F235,C191:C235,"A",H191:H235,"cits segums", Q191:Q235,"Nepiederošs")</f>
        <v>0</v>
      </c>
      <c r="AF238" s="102">
        <f>SUM(AA238:AE238)</f>
        <v>0</v>
      </c>
    </row>
    <row r="239" spans="1:32" s="1" customFormat="1" ht="11.25" x14ac:dyDescent="0.2">
      <c r="A239" s="92" t="s">
        <v>80</v>
      </c>
      <c r="B239" s="93"/>
      <c r="C239" s="93"/>
      <c r="D239" s="94"/>
      <c r="E239" s="94"/>
      <c r="F239" s="169">
        <f>SUMIFS(F191:F235,H191:H235,"bruģis")</f>
        <v>0</v>
      </c>
      <c r="G239" s="168"/>
      <c r="H239" s="27"/>
      <c r="I239" s="27"/>
      <c r="J239" s="80"/>
      <c r="K239" s="103"/>
      <c r="L239" s="103"/>
      <c r="M239" s="103"/>
      <c r="N239" s="80"/>
      <c r="O239" s="80"/>
      <c r="P239" s="80"/>
      <c r="Q239" s="80"/>
      <c r="S239" s="104" t="s">
        <v>2</v>
      </c>
      <c r="T239" s="101">
        <f>SUMIFS(F191:F235,C191:C235,"B",H191:H235,"melnais")</f>
        <v>0</v>
      </c>
      <c r="U239" s="101">
        <f>SUMIFS(F191:F235,C191:C235,"B",H191:H235,"dubultā virsma")</f>
        <v>0</v>
      </c>
      <c r="V239" s="101">
        <f>SUMIFS(F191:F235,C191:C235,"B",H191:H235,"bruģis")</f>
        <v>0</v>
      </c>
      <c r="W239" s="101">
        <f>SUMIFS(F191:F235,C191:C235,"B",H191:H235,"grants")</f>
        <v>0</v>
      </c>
      <c r="X239" s="101">
        <f>SUMIFS(F191:F235,C191:C235,"B",H191:H235,"cits segums")</f>
        <v>0</v>
      </c>
      <c r="Y239" s="101">
        <f t="shared" ref="Y239:Y241" si="15">SUM(T239:X239)</f>
        <v>0</v>
      </c>
      <c r="Z239" s="104" t="s">
        <v>2</v>
      </c>
      <c r="AA239" s="102">
        <f>SUMIFS(F191:F235,C191:C235,"B",H191:H235,"melnais", Q191:Q235,"Nepiederošs")</f>
        <v>0</v>
      </c>
      <c r="AB239" s="102">
        <f>SUMIFS(F191:F235,C191:C235,"B",H191:H235,"dubultā virsma", Q191:Q235,"Nepiederošs")</f>
        <v>0</v>
      </c>
      <c r="AC239" s="102">
        <f>SUMIFS(F191:F235,C191:C235,"B",H191:H235,"bruģis", Q191:Q235,"Nepiederošs")</f>
        <v>0</v>
      </c>
      <c r="AD239" s="102">
        <f>SUMIFS(F191:F235,C191:C235,"B",H191:H235,"grants", Q191:Q235,"Nepiederošs")</f>
        <v>0</v>
      </c>
      <c r="AE239" s="102">
        <f>SUMIFS(F191:F235,C191:C235,"B",H191:H235,"cits segums", Q191:Q235,"Nepiederošs")</f>
        <v>0</v>
      </c>
      <c r="AF239" s="102">
        <f t="shared" ref="AF239:AF241" si="16">SUM(AA239:AE239)</f>
        <v>0</v>
      </c>
    </row>
    <row r="240" spans="1:32" s="1" customFormat="1" ht="11.25" x14ac:dyDescent="0.2">
      <c r="A240" s="92" t="s">
        <v>81</v>
      </c>
      <c r="B240" s="93"/>
      <c r="C240" s="93"/>
      <c r="D240" s="94"/>
      <c r="E240" s="94"/>
      <c r="F240" s="169">
        <f>SUMIFS(F191:F235,H191:H235,"grants")</f>
        <v>91.330000000000027</v>
      </c>
      <c r="G240" s="168"/>
      <c r="H240" s="27"/>
      <c r="I240" s="27"/>
      <c r="J240" s="80"/>
      <c r="K240" s="103"/>
      <c r="L240" s="103"/>
      <c r="M240" s="103"/>
      <c r="N240" s="80"/>
      <c r="O240" s="80"/>
      <c r="P240" s="80"/>
      <c r="Q240" s="80"/>
      <c r="S240" s="105" t="s">
        <v>3</v>
      </c>
      <c r="T240" s="101">
        <f>SUMIFS(F191:F235,C191:C235,"C",H191:H235,"melnais")</f>
        <v>0.40999999999999992</v>
      </c>
      <c r="U240" s="101">
        <f>SUMIFS(F191:F235,C191:C235,"C",H191:H235,"dubultā virsma")</f>
        <v>0</v>
      </c>
      <c r="V240" s="101">
        <f>SUMIFS(F191:F235,C191:C235,"C",H191:H235,"bruģis")</f>
        <v>0</v>
      </c>
      <c r="W240" s="101">
        <f>SUMIFS(F191:F235,C191:C235,"C",H191:H235,"grants")</f>
        <v>23.93</v>
      </c>
      <c r="X240" s="101">
        <f>SUMIFS(F191:F235,C191:C235,"C",H191:H235,"cits segums")</f>
        <v>0</v>
      </c>
      <c r="Y240" s="101">
        <f t="shared" si="15"/>
        <v>24.34</v>
      </c>
      <c r="Z240" s="105" t="s">
        <v>3</v>
      </c>
      <c r="AA240" s="102">
        <f>SUMIFS(F191:F235,C191:C235,"C",H191:H235,"melnais", Q191:Q235,"Nepiederošs")</f>
        <v>0</v>
      </c>
      <c r="AB240" s="102">
        <f>SUMIFS(F191:F235,C191:C235,"C",H191:H235,"dubultā virsma", Q191:Q235,"Nepiederošs")</f>
        <v>0</v>
      </c>
      <c r="AC240" s="102">
        <f>SUMIFS(F191:F235,C191:C235,"C",H191:H235,"bruģis", Q191:Q235,"Nepiederošs")</f>
        <v>0</v>
      </c>
      <c r="AD240" s="102">
        <f>SUMIFS(F191:F235,C191:C235,"C",H191:H235,"grants", Q191:Q235,"Nepiederošs")</f>
        <v>0</v>
      </c>
      <c r="AE240" s="102">
        <f>SUMIFS(F191:F235,C191:C235,"C",H191:H235,"cits segums", Q191:Q235,"Nepiederošs")</f>
        <v>0</v>
      </c>
      <c r="AF240" s="102">
        <f t="shared" si="16"/>
        <v>0</v>
      </c>
    </row>
    <row r="241" spans="1:32" s="1" customFormat="1" ht="11.25" x14ac:dyDescent="0.2">
      <c r="A241" s="92" t="s">
        <v>82</v>
      </c>
      <c r="B241" s="93"/>
      <c r="C241" s="93"/>
      <c r="D241" s="94"/>
      <c r="E241" s="94"/>
      <c r="F241" s="169">
        <f>SUMIFS(F191:F235,H191:H235,"cits segums")</f>
        <v>1.32</v>
      </c>
      <c r="G241" s="168"/>
      <c r="H241" s="98"/>
      <c r="I241" s="27"/>
      <c r="J241" s="106"/>
      <c r="K241" s="103"/>
      <c r="L241" s="103"/>
      <c r="M241" s="103"/>
      <c r="N241" s="80"/>
      <c r="O241" s="80"/>
      <c r="P241" s="80"/>
      <c r="Q241" s="80"/>
      <c r="S241" s="100" t="s">
        <v>4</v>
      </c>
      <c r="T241" s="101">
        <f>SUMIFS(F191:F235,C191:C235,"D",H191:H235,"melnais")</f>
        <v>0</v>
      </c>
      <c r="U241" s="101">
        <f>SUMIFS(F191:F235,C191:C235,"D",H191:H235,"dubultā virsma")</f>
        <v>0</v>
      </c>
      <c r="V241" s="101">
        <f>SUMIFS(F191:F235,C191:C235,"D",H191:H235,"bruģis")</f>
        <v>0</v>
      </c>
      <c r="W241" s="101">
        <f>SUMIFS(F191:F235,C191:C235,"D",H191:H235,"grants")</f>
        <v>67.400000000000006</v>
      </c>
      <c r="X241" s="101">
        <f>SUMIFS(F191:F235,C191:C235,"D",H191:H235,"cits segums")</f>
        <v>1.32</v>
      </c>
      <c r="Y241" s="101">
        <f t="shared" si="15"/>
        <v>68.72</v>
      </c>
      <c r="Z241" s="100" t="s">
        <v>4</v>
      </c>
      <c r="AA241" s="102">
        <f>SUMIFS(F191:F235,C191:C235,"D",H191:H235,"melnais", Q191:Q235,"Nepiederošs")</f>
        <v>0</v>
      </c>
      <c r="AB241" s="102">
        <f>SUMIFS(F191:F235,C191:C235,"D",H191:H235,"dubultā virsma", Q191:Q235,"Nepiederošs")</f>
        <v>0</v>
      </c>
      <c r="AC241" s="102">
        <f>SUMIFS(F191:F235,C191:C235,"D",H191:H235,"bruģis", Q191:Q235,"Nepiederošs")</f>
        <v>0</v>
      </c>
      <c r="AD241" s="102">
        <f>SUMIFS(F191:F235,C191:C235,"D",H191:H235,"grants", Q191:Q235,"Nepiederošs")</f>
        <v>2.6100000000000003</v>
      </c>
      <c r="AE241" s="102">
        <f>SUMIFS(F191:F235,C191:C235,"D",H191:H235,"cits segums", Q191:Q235,"Nepiederošs")</f>
        <v>0</v>
      </c>
      <c r="AF241" s="102">
        <f t="shared" si="16"/>
        <v>2.6100000000000003</v>
      </c>
    </row>
    <row r="242" spans="1:32" x14ac:dyDescent="0.25">
      <c r="C242" s="107"/>
      <c r="T242" s="108">
        <f>SUM(T238:T241)</f>
        <v>0.40999999999999992</v>
      </c>
      <c r="U242" s="108">
        <f t="shared" ref="U242:Y242" si="17">SUM(U238:U241)</f>
        <v>0</v>
      </c>
      <c r="V242" s="108">
        <f t="shared" si="17"/>
        <v>0</v>
      </c>
      <c r="W242" s="108">
        <f t="shared" si="17"/>
        <v>91.330000000000013</v>
      </c>
      <c r="X242" s="108">
        <f t="shared" si="17"/>
        <v>1.32</v>
      </c>
      <c r="Y242" s="108">
        <f t="shared" si="17"/>
        <v>93.06</v>
      </c>
      <c r="AA242" s="109">
        <f>SUM(AA238:AA241)</f>
        <v>0</v>
      </c>
      <c r="AB242" s="109">
        <f t="shared" ref="AB242" si="18">SUM(AB238:AB241)</f>
        <v>0</v>
      </c>
      <c r="AC242" s="109">
        <f>SUM(AC238:AC241)</f>
        <v>0</v>
      </c>
      <c r="AD242" s="109">
        <f t="shared" ref="AD242:AF242" si="19">SUM(AD238:AD241)</f>
        <v>2.6100000000000003</v>
      </c>
      <c r="AE242" s="109">
        <f t="shared" si="19"/>
        <v>0</v>
      </c>
      <c r="AF242" s="109">
        <f t="shared" si="19"/>
        <v>2.6100000000000003</v>
      </c>
    </row>
    <row r="243" spans="1:32" s="6" customFormat="1" ht="15" customHeight="1" x14ac:dyDescent="0.25">
      <c r="A243" s="16"/>
      <c r="B243" s="16"/>
      <c r="C243" s="16"/>
      <c r="D243" s="17" t="s">
        <v>203</v>
      </c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8"/>
      <c r="R243" s="19"/>
      <c r="AA243" s="110">
        <f>Y242-AF242</f>
        <v>90.45</v>
      </c>
    </row>
    <row r="244" spans="1:32" s="6" customFormat="1" ht="11.25" x14ac:dyDescent="0.25">
      <c r="A244" s="16"/>
      <c r="B244" s="16"/>
      <c r="C244" s="16"/>
      <c r="D244" s="25"/>
      <c r="E244" s="25"/>
      <c r="F244" s="25"/>
      <c r="G244" s="25"/>
      <c r="H244" s="18"/>
      <c r="I244" s="16"/>
      <c r="J244" s="16"/>
      <c r="K244" s="16"/>
      <c r="L244" s="16"/>
      <c r="M244" s="16"/>
      <c r="N244" s="26"/>
      <c r="O244" s="26"/>
      <c r="P244" s="16"/>
      <c r="Q244" s="16"/>
      <c r="R244" s="19"/>
    </row>
    <row r="245" spans="1:32" s="27" customFormat="1" ht="5.25" customHeight="1" x14ac:dyDescent="0.2">
      <c r="C245" s="26"/>
    </row>
    <row r="246" spans="1:32" s="27" customFormat="1" ht="12.75" customHeight="1" x14ac:dyDescent="0.2">
      <c r="A246" s="28" t="s">
        <v>19</v>
      </c>
      <c r="B246" s="29" t="s">
        <v>20</v>
      </c>
      <c r="C246" s="30"/>
      <c r="D246" s="31" t="s">
        <v>21</v>
      </c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3"/>
      <c r="Q246" s="34" t="s">
        <v>22</v>
      </c>
      <c r="R246" s="35"/>
    </row>
    <row r="247" spans="1:32" s="27" customFormat="1" ht="12.75" customHeight="1" x14ac:dyDescent="0.2">
      <c r="A247" s="28"/>
      <c r="B247" s="36"/>
      <c r="C247" s="37"/>
      <c r="D247" s="38" t="s">
        <v>23</v>
      </c>
      <c r="E247" s="38"/>
      <c r="F247" s="38"/>
      <c r="G247" s="38"/>
      <c r="H247" s="38"/>
      <c r="I247" s="39" t="s">
        <v>24</v>
      </c>
      <c r="J247" s="39"/>
      <c r="K247" s="39"/>
      <c r="L247" s="39"/>
      <c r="M247" s="39"/>
      <c r="N247" s="39"/>
      <c r="O247" s="39"/>
      <c r="P247" s="40" t="s">
        <v>25</v>
      </c>
      <c r="Q247" s="41"/>
      <c r="R247" s="42"/>
    </row>
    <row r="248" spans="1:32" s="27" customFormat="1" ht="15.2" customHeight="1" x14ac:dyDescent="0.2">
      <c r="A248" s="28"/>
      <c r="B248" s="36"/>
      <c r="C248" s="37"/>
      <c r="D248" s="38" t="s">
        <v>26</v>
      </c>
      <c r="E248" s="38"/>
      <c r="F248" s="28" t="s">
        <v>27</v>
      </c>
      <c r="G248" s="28" t="s">
        <v>28</v>
      </c>
      <c r="H248" s="28" t="s">
        <v>29</v>
      </c>
      <c r="I248" s="39" t="s">
        <v>30</v>
      </c>
      <c r="J248" s="39" t="s">
        <v>31</v>
      </c>
      <c r="K248" s="39"/>
      <c r="L248" s="43" t="s">
        <v>32</v>
      </c>
      <c r="M248" s="43" t="s">
        <v>33</v>
      </c>
      <c r="N248" s="43" t="s">
        <v>34</v>
      </c>
      <c r="O248" s="43" t="s">
        <v>35</v>
      </c>
      <c r="P248" s="44"/>
      <c r="Q248" s="44" t="s">
        <v>36</v>
      </c>
      <c r="R248" s="36" t="s">
        <v>37</v>
      </c>
    </row>
    <row r="249" spans="1:32" s="27" customFormat="1" ht="59.25" customHeight="1" x14ac:dyDescent="0.2">
      <c r="A249" s="28"/>
      <c r="B249" s="45"/>
      <c r="C249" s="46" t="s">
        <v>38</v>
      </c>
      <c r="D249" s="47" t="s">
        <v>39</v>
      </c>
      <c r="E249" s="47" t="s">
        <v>40</v>
      </c>
      <c r="F249" s="28"/>
      <c r="G249" s="28"/>
      <c r="H249" s="28"/>
      <c r="I249" s="39"/>
      <c r="J249" s="48" t="s">
        <v>41</v>
      </c>
      <c r="K249" s="48" t="s">
        <v>42</v>
      </c>
      <c r="L249" s="43"/>
      <c r="M249" s="43"/>
      <c r="N249" s="43"/>
      <c r="O249" s="43"/>
      <c r="P249" s="49"/>
      <c r="Q249" s="49"/>
      <c r="R249" s="45"/>
    </row>
    <row r="250" spans="1:32" s="111" customFormat="1" ht="12" customHeight="1" x14ac:dyDescent="0.25">
      <c r="A250" s="126">
        <v>1</v>
      </c>
      <c r="B250" s="126">
        <v>2</v>
      </c>
      <c r="C250" s="126"/>
      <c r="D250" s="126">
        <v>3</v>
      </c>
      <c r="E250" s="126">
        <v>4</v>
      </c>
      <c r="F250" s="126">
        <v>5</v>
      </c>
      <c r="G250" s="50">
        <v>5.0999999999999996</v>
      </c>
      <c r="H250" s="126">
        <v>6</v>
      </c>
      <c r="I250" s="161">
        <v>7</v>
      </c>
      <c r="J250" s="161">
        <v>8</v>
      </c>
      <c r="K250" s="161">
        <v>9</v>
      </c>
      <c r="L250" s="161">
        <v>10</v>
      </c>
      <c r="M250" s="161">
        <v>11</v>
      </c>
      <c r="N250" s="161">
        <v>12</v>
      </c>
      <c r="O250" s="161">
        <v>13</v>
      </c>
      <c r="P250" s="161">
        <v>14</v>
      </c>
      <c r="Q250" s="161">
        <v>15</v>
      </c>
      <c r="R250" s="126">
        <v>16</v>
      </c>
    </row>
    <row r="251" spans="1:32" x14ac:dyDescent="0.25">
      <c r="A251" s="52">
        <v>1</v>
      </c>
      <c r="B251" s="70" t="s">
        <v>204</v>
      </c>
      <c r="C251" s="113" t="s">
        <v>4</v>
      </c>
      <c r="D251" s="73">
        <v>0</v>
      </c>
      <c r="E251" s="55">
        <v>0.6</v>
      </c>
      <c r="F251" s="55">
        <v>0.6</v>
      </c>
      <c r="G251" s="55">
        <v>3</v>
      </c>
      <c r="H251" s="141" t="s">
        <v>44</v>
      </c>
      <c r="I251" s="167"/>
      <c r="J251" s="167"/>
      <c r="K251" s="167"/>
      <c r="L251" s="167"/>
      <c r="M251" s="167"/>
      <c r="N251" s="167"/>
      <c r="O251" s="167"/>
      <c r="P251" s="167"/>
      <c r="Q251" s="162">
        <v>80640080200</v>
      </c>
      <c r="R251" s="162">
        <v>80640080200</v>
      </c>
      <c r="T251" s="171"/>
      <c r="U251" s="172"/>
    </row>
    <row r="252" spans="1:32" x14ac:dyDescent="0.25">
      <c r="A252" s="67"/>
      <c r="B252" s="119"/>
      <c r="C252" s="113" t="s">
        <v>4</v>
      </c>
      <c r="D252" s="73">
        <v>0.6</v>
      </c>
      <c r="E252" s="55">
        <v>0.76</v>
      </c>
      <c r="F252" s="55">
        <v>0.16</v>
      </c>
      <c r="G252" s="173">
        <v>3.5</v>
      </c>
      <c r="H252" s="155" t="s">
        <v>46</v>
      </c>
      <c r="I252" s="167"/>
      <c r="J252" s="167"/>
      <c r="K252" s="167"/>
      <c r="L252" s="167"/>
      <c r="M252" s="167"/>
      <c r="N252" s="167"/>
      <c r="O252" s="167"/>
      <c r="P252" s="167"/>
      <c r="Q252" s="162">
        <v>80640080200</v>
      </c>
      <c r="R252" s="162">
        <v>80640080200</v>
      </c>
      <c r="T252" s="171"/>
      <c r="U252" s="172"/>
    </row>
    <row r="253" spans="1:32" x14ac:dyDescent="0.25">
      <c r="A253" s="67">
        <v>2</v>
      </c>
      <c r="B253" s="120" t="s">
        <v>205</v>
      </c>
      <c r="C253" s="113" t="s">
        <v>4</v>
      </c>
      <c r="D253" s="55">
        <v>0</v>
      </c>
      <c r="E253" s="55">
        <v>0.5</v>
      </c>
      <c r="F253" s="55">
        <v>0.5</v>
      </c>
      <c r="G253" s="55">
        <v>4</v>
      </c>
      <c r="H253" s="58" t="s">
        <v>44</v>
      </c>
      <c r="I253" s="167"/>
      <c r="J253" s="167"/>
      <c r="K253" s="167"/>
      <c r="L253" s="167"/>
      <c r="M253" s="167"/>
      <c r="N253" s="167"/>
      <c r="O253" s="167"/>
      <c r="P253" s="167"/>
      <c r="Q253" s="162">
        <v>80640050139</v>
      </c>
      <c r="R253" s="162" t="s">
        <v>206</v>
      </c>
      <c r="T253" s="171">
        <f>5+5.3+4.4+4.6+4.6+4+4+4.8+5.4</f>
        <v>42.099999999999994</v>
      </c>
      <c r="U253" s="172">
        <f>T253/9</f>
        <v>4.6777777777777771</v>
      </c>
    </row>
    <row r="254" spans="1:32" x14ac:dyDescent="0.25">
      <c r="A254" s="52">
        <v>3</v>
      </c>
      <c r="B254" s="112" t="s">
        <v>207</v>
      </c>
      <c r="C254" s="113" t="s">
        <v>4</v>
      </c>
      <c r="D254" s="55">
        <v>0</v>
      </c>
      <c r="E254" s="55">
        <v>0.1</v>
      </c>
      <c r="F254" s="55">
        <v>0.1</v>
      </c>
      <c r="G254" s="55">
        <v>2.5</v>
      </c>
      <c r="H254" s="58" t="s">
        <v>44</v>
      </c>
      <c r="I254" s="167"/>
      <c r="J254" s="167"/>
      <c r="K254" s="167"/>
      <c r="L254" s="167"/>
      <c r="M254" s="167"/>
      <c r="N254" s="167"/>
      <c r="O254" s="167"/>
      <c r="P254" s="167"/>
      <c r="Q254" s="162" t="s">
        <v>208</v>
      </c>
      <c r="R254" s="162" t="s">
        <v>208</v>
      </c>
      <c r="T254" s="171"/>
      <c r="U254" s="172"/>
    </row>
    <row r="255" spans="1:32" x14ac:dyDescent="0.25">
      <c r="A255" s="52"/>
      <c r="B255" s="70"/>
      <c r="C255" s="113" t="s">
        <v>4</v>
      </c>
      <c r="D255" s="55">
        <v>0.1</v>
      </c>
      <c r="E255" s="55">
        <v>0.13</v>
      </c>
      <c r="F255" s="55">
        <v>0.03</v>
      </c>
      <c r="G255" s="55">
        <v>2.5</v>
      </c>
      <c r="H255" s="58" t="s">
        <v>44</v>
      </c>
      <c r="I255" s="167"/>
      <c r="J255" s="167"/>
      <c r="K255" s="167"/>
      <c r="L255" s="167"/>
      <c r="M255" s="167"/>
      <c r="N255" s="167"/>
      <c r="O255" s="167"/>
      <c r="P255" s="167"/>
      <c r="Q255" s="139" t="s">
        <v>49</v>
      </c>
      <c r="R255" s="162">
        <v>80640050045</v>
      </c>
      <c r="U255" s="172"/>
    </row>
    <row r="256" spans="1:32" x14ac:dyDescent="0.25">
      <c r="A256" s="52"/>
      <c r="B256" s="70"/>
      <c r="C256" s="113" t="s">
        <v>4</v>
      </c>
      <c r="D256" s="55">
        <v>0.13</v>
      </c>
      <c r="E256" s="55">
        <v>0.16</v>
      </c>
      <c r="F256" s="55">
        <v>0.03</v>
      </c>
      <c r="G256" s="55">
        <v>2.5</v>
      </c>
      <c r="H256" s="58" t="s">
        <v>44</v>
      </c>
      <c r="I256" s="167"/>
      <c r="J256" s="167"/>
      <c r="K256" s="167"/>
      <c r="L256" s="167"/>
      <c r="M256" s="167"/>
      <c r="N256" s="167"/>
      <c r="O256" s="167"/>
      <c r="P256" s="167"/>
      <c r="Q256" s="139" t="s">
        <v>49</v>
      </c>
      <c r="R256" s="162">
        <v>80640050046</v>
      </c>
      <c r="U256" s="172"/>
    </row>
    <row r="257" spans="1:21" ht="23.25" x14ac:dyDescent="0.25">
      <c r="A257" s="52">
        <v>4</v>
      </c>
      <c r="B257" s="70" t="s">
        <v>209</v>
      </c>
      <c r="C257" s="113" t="s">
        <v>4</v>
      </c>
      <c r="D257" s="55">
        <v>0</v>
      </c>
      <c r="E257" s="55">
        <v>0.11</v>
      </c>
      <c r="F257" s="55">
        <v>0.11</v>
      </c>
      <c r="G257" s="55">
        <v>4</v>
      </c>
      <c r="H257" s="58" t="s">
        <v>44</v>
      </c>
      <c r="I257" s="167"/>
      <c r="J257" s="167"/>
      <c r="K257" s="167"/>
      <c r="L257" s="167"/>
      <c r="M257" s="167"/>
      <c r="N257" s="167"/>
      <c r="O257" s="167"/>
      <c r="P257" s="167"/>
      <c r="Q257" s="139" t="s">
        <v>49</v>
      </c>
      <c r="R257" s="164" t="s">
        <v>210</v>
      </c>
      <c r="U257" s="172"/>
    </row>
    <row r="258" spans="1:21" x14ac:dyDescent="0.25">
      <c r="A258" s="62"/>
      <c r="B258" s="117"/>
      <c r="C258" s="113" t="s">
        <v>4</v>
      </c>
      <c r="D258" s="55">
        <v>0.11</v>
      </c>
      <c r="E258" s="55">
        <v>0.46</v>
      </c>
      <c r="F258" s="55">
        <v>0.35</v>
      </c>
      <c r="G258" s="55">
        <v>4</v>
      </c>
      <c r="H258" s="58" t="s">
        <v>44</v>
      </c>
      <c r="I258" s="167"/>
      <c r="J258" s="167"/>
      <c r="K258" s="167"/>
      <c r="L258" s="167"/>
      <c r="M258" s="167"/>
      <c r="N258" s="167"/>
      <c r="O258" s="167"/>
      <c r="P258" s="167"/>
      <c r="Q258" s="162">
        <v>80640050204</v>
      </c>
      <c r="R258" s="162" t="s">
        <v>211</v>
      </c>
      <c r="T258" s="171"/>
      <c r="U258" s="172"/>
    </row>
    <row r="259" spans="1:21" ht="23.25" x14ac:dyDescent="0.25">
      <c r="A259" s="67"/>
      <c r="B259" s="119"/>
      <c r="C259" s="113" t="s">
        <v>4</v>
      </c>
      <c r="D259" s="73">
        <v>0.46</v>
      </c>
      <c r="E259" s="55">
        <v>0.52</v>
      </c>
      <c r="F259" s="55">
        <v>0.06</v>
      </c>
      <c r="G259" s="55">
        <v>4</v>
      </c>
      <c r="H259" s="58" t="s">
        <v>44</v>
      </c>
      <c r="I259" s="167"/>
      <c r="J259" s="167"/>
      <c r="K259" s="167"/>
      <c r="L259" s="167"/>
      <c r="M259" s="167"/>
      <c r="N259" s="167"/>
      <c r="O259" s="167"/>
      <c r="P259" s="167"/>
      <c r="Q259" s="139" t="s">
        <v>49</v>
      </c>
      <c r="R259" s="164" t="s">
        <v>212</v>
      </c>
      <c r="U259" s="172"/>
    </row>
    <row r="260" spans="1:21" x14ac:dyDescent="0.25">
      <c r="A260" s="62">
        <v>5</v>
      </c>
      <c r="B260" s="117" t="s">
        <v>213</v>
      </c>
      <c r="C260" s="113" t="s">
        <v>4</v>
      </c>
      <c r="D260" s="73">
        <v>0</v>
      </c>
      <c r="E260" s="55">
        <v>0.38</v>
      </c>
      <c r="F260" s="55">
        <v>0.38</v>
      </c>
      <c r="G260" s="55">
        <v>3</v>
      </c>
      <c r="H260" s="58" t="s">
        <v>59</v>
      </c>
      <c r="I260" s="167"/>
      <c r="J260" s="167"/>
      <c r="K260" s="167"/>
      <c r="L260" s="167"/>
      <c r="M260" s="167"/>
      <c r="N260" s="167"/>
      <c r="O260" s="167"/>
      <c r="P260" s="167"/>
      <c r="Q260" s="162">
        <v>80640080202</v>
      </c>
      <c r="R260" s="162" t="s">
        <v>214</v>
      </c>
      <c r="T260" s="171"/>
      <c r="U260" s="172"/>
    </row>
    <row r="261" spans="1:21" x14ac:dyDescent="0.25">
      <c r="A261" s="67"/>
      <c r="B261" s="119"/>
      <c r="C261" s="113" t="s">
        <v>4</v>
      </c>
      <c r="D261" s="73">
        <v>0.3</v>
      </c>
      <c r="E261" s="55">
        <v>0.5</v>
      </c>
      <c r="F261" s="55">
        <v>0.2</v>
      </c>
      <c r="G261" s="55">
        <v>3</v>
      </c>
      <c r="H261" s="58" t="s">
        <v>44</v>
      </c>
      <c r="I261" s="167"/>
      <c r="J261" s="167"/>
      <c r="K261" s="167"/>
      <c r="L261" s="167"/>
      <c r="M261" s="167"/>
      <c r="N261" s="167"/>
      <c r="O261" s="167"/>
      <c r="P261" s="167"/>
      <c r="Q261" s="162" t="s">
        <v>215</v>
      </c>
      <c r="R261" s="162" t="s">
        <v>215</v>
      </c>
      <c r="T261" s="171"/>
      <c r="U261" s="172"/>
    </row>
    <row r="262" spans="1:21" x14ac:dyDescent="0.25">
      <c r="A262" s="67">
        <v>6</v>
      </c>
      <c r="B262" s="120" t="s">
        <v>216</v>
      </c>
      <c r="C262" s="174" t="s">
        <v>4</v>
      </c>
      <c r="D262" s="55">
        <v>0</v>
      </c>
      <c r="E262" s="55">
        <v>0.55000000000000004</v>
      </c>
      <c r="F262" s="55">
        <v>0.55000000000000004</v>
      </c>
      <c r="G262" s="55">
        <v>4</v>
      </c>
      <c r="H262" s="58" t="s">
        <v>59</v>
      </c>
      <c r="I262" s="167"/>
      <c r="J262" s="167"/>
      <c r="K262" s="167"/>
      <c r="L262" s="167"/>
      <c r="M262" s="167"/>
      <c r="N262" s="167"/>
      <c r="O262" s="167"/>
      <c r="P262" s="167"/>
      <c r="Q262" s="162">
        <v>80640080215</v>
      </c>
      <c r="R262" s="162" t="s">
        <v>217</v>
      </c>
      <c r="T262" s="171"/>
      <c r="U262" s="172"/>
    </row>
    <row r="263" spans="1:21" x14ac:dyDescent="0.25">
      <c r="A263" s="67"/>
      <c r="B263" s="120"/>
      <c r="C263" s="174" t="s">
        <v>4</v>
      </c>
      <c r="D263" s="55">
        <v>0.55000000000000004</v>
      </c>
      <c r="E263" s="55">
        <v>0.7</v>
      </c>
      <c r="F263" s="55">
        <v>0.15</v>
      </c>
      <c r="G263" s="55">
        <v>4</v>
      </c>
      <c r="H263" s="58" t="s">
        <v>59</v>
      </c>
      <c r="I263" s="167"/>
      <c r="J263" s="167"/>
      <c r="K263" s="167"/>
      <c r="L263" s="167"/>
      <c r="M263" s="167"/>
      <c r="N263" s="167"/>
      <c r="O263" s="167"/>
      <c r="P263" s="167"/>
      <c r="Q263" s="139" t="s">
        <v>49</v>
      </c>
      <c r="R263" s="162">
        <v>80640080033</v>
      </c>
      <c r="U263" s="172"/>
    </row>
    <row r="264" spans="1:21" x14ac:dyDescent="0.25">
      <c r="A264" s="67"/>
      <c r="B264" s="120"/>
      <c r="C264" s="174" t="s">
        <v>4</v>
      </c>
      <c r="D264" s="55">
        <v>0.7</v>
      </c>
      <c r="E264" s="55">
        <v>0.73</v>
      </c>
      <c r="F264" s="55">
        <v>0.03</v>
      </c>
      <c r="G264" s="55">
        <v>3.5</v>
      </c>
      <c r="H264" s="58" t="s">
        <v>59</v>
      </c>
      <c r="I264" s="167"/>
      <c r="J264" s="167"/>
      <c r="K264" s="167"/>
      <c r="L264" s="167"/>
      <c r="M264" s="167"/>
      <c r="N264" s="167"/>
      <c r="O264" s="167"/>
      <c r="P264" s="167"/>
      <c r="Q264" s="139" t="s">
        <v>49</v>
      </c>
      <c r="R264" s="162">
        <v>80640080363</v>
      </c>
      <c r="U264" s="172"/>
    </row>
    <row r="265" spans="1:21" ht="23.25" x14ac:dyDescent="0.25">
      <c r="A265" s="59">
        <v>7</v>
      </c>
      <c r="B265" s="76" t="s">
        <v>218</v>
      </c>
      <c r="C265" s="113" t="s">
        <v>3</v>
      </c>
      <c r="D265" s="55">
        <v>0</v>
      </c>
      <c r="E265" s="55">
        <v>1.1000000000000001</v>
      </c>
      <c r="F265" s="55">
        <v>1.1000000000000001</v>
      </c>
      <c r="G265" s="55">
        <v>5</v>
      </c>
      <c r="H265" s="58" t="s">
        <v>44</v>
      </c>
      <c r="I265" s="167"/>
      <c r="J265" s="167"/>
      <c r="K265" s="167"/>
      <c r="L265" s="167"/>
      <c r="M265" s="167"/>
      <c r="N265" s="167"/>
      <c r="O265" s="167"/>
      <c r="P265" s="167"/>
      <c r="Q265" s="162">
        <v>80640010137</v>
      </c>
      <c r="R265" s="162">
        <v>80640010137</v>
      </c>
      <c r="T265" s="171"/>
      <c r="U265" s="172"/>
    </row>
    <row r="266" spans="1:21" x14ac:dyDescent="0.25">
      <c r="A266" s="59">
        <v>8</v>
      </c>
      <c r="B266" s="76" t="s">
        <v>219</v>
      </c>
      <c r="C266" s="113" t="s">
        <v>3</v>
      </c>
      <c r="D266" s="55">
        <v>0</v>
      </c>
      <c r="E266" s="55">
        <v>0.6</v>
      </c>
      <c r="F266" s="55">
        <v>0.6</v>
      </c>
      <c r="G266" s="55">
        <v>3.5</v>
      </c>
      <c r="H266" s="58" t="s">
        <v>44</v>
      </c>
      <c r="I266" s="167"/>
      <c r="J266" s="167"/>
      <c r="K266" s="167"/>
      <c r="L266" s="167"/>
      <c r="M266" s="167"/>
      <c r="N266" s="167"/>
      <c r="O266" s="167"/>
      <c r="P266" s="167"/>
      <c r="Q266" s="162">
        <v>80640010138</v>
      </c>
      <c r="R266" s="162">
        <v>80640010138</v>
      </c>
      <c r="T266" s="171"/>
      <c r="U266" s="172"/>
    </row>
    <row r="267" spans="1:21" x14ac:dyDescent="0.25">
      <c r="A267" s="52">
        <v>9</v>
      </c>
      <c r="B267" s="112" t="s">
        <v>220</v>
      </c>
      <c r="C267" s="175" t="s">
        <v>3</v>
      </c>
      <c r="D267" s="55">
        <v>0</v>
      </c>
      <c r="E267" s="55">
        <v>0.92</v>
      </c>
      <c r="F267" s="55">
        <v>1.1200000000000001</v>
      </c>
      <c r="G267" s="55">
        <v>5</v>
      </c>
      <c r="H267" s="58" t="s">
        <v>44</v>
      </c>
      <c r="I267" s="167"/>
      <c r="J267" s="167"/>
      <c r="K267" s="167"/>
      <c r="L267" s="167"/>
      <c r="M267" s="167"/>
      <c r="N267" s="167"/>
      <c r="O267" s="167"/>
      <c r="P267" s="167"/>
      <c r="Q267" s="162">
        <v>80640010152</v>
      </c>
      <c r="R267" s="162">
        <v>80640010152</v>
      </c>
      <c r="T267" s="171"/>
      <c r="U267" s="172"/>
    </row>
    <row r="268" spans="1:21" ht="23.25" x14ac:dyDescent="0.25">
      <c r="A268" s="52">
        <v>10</v>
      </c>
      <c r="B268" s="70" t="s">
        <v>221</v>
      </c>
      <c r="C268" s="113" t="s">
        <v>4</v>
      </c>
      <c r="D268" s="73">
        <v>0</v>
      </c>
      <c r="E268" s="55">
        <v>1.17</v>
      </c>
      <c r="F268" s="55">
        <v>1.17</v>
      </c>
      <c r="G268" s="55">
        <v>5</v>
      </c>
      <c r="H268" s="58" t="s">
        <v>44</v>
      </c>
      <c r="I268" s="167"/>
      <c r="J268" s="167"/>
      <c r="K268" s="167"/>
      <c r="L268" s="167"/>
      <c r="M268" s="167"/>
      <c r="N268" s="167"/>
      <c r="O268" s="167"/>
      <c r="P268" s="167"/>
      <c r="Q268" s="162">
        <v>80640010191</v>
      </c>
      <c r="R268" s="162">
        <v>80640010191</v>
      </c>
      <c r="T268" s="171"/>
      <c r="U268" s="172"/>
    </row>
    <row r="269" spans="1:21" x14ac:dyDescent="0.25">
      <c r="A269" s="62"/>
      <c r="B269" s="117"/>
      <c r="C269" s="113" t="s">
        <v>4</v>
      </c>
      <c r="D269" s="73">
        <v>1.17</v>
      </c>
      <c r="E269" s="55">
        <v>1.55</v>
      </c>
      <c r="F269" s="55">
        <v>0.38</v>
      </c>
      <c r="G269" s="55">
        <v>4.5</v>
      </c>
      <c r="H269" s="58" t="s">
        <v>44</v>
      </c>
      <c r="I269" s="176"/>
      <c r="J269" s="167"/>
      <c r="K269" s="167"/>
      <c r="L269" s="167"/>
      <c r="M269" s="167"/>
      <c r="N269" s="167"/>
      <c r="O269" s="167"/>
      <c r="P269" s="167"/>
      <c r="Q269" s="139" t="s">
        <v>49</v>
      </c>
      <c r="R269" s="162">
        <v>80640010002</v>
      </c>
      <c r="U269" s="172"/>
    </row>
    <row r="270" spans="1:21" x14ac:dyDescent="0.25">
      <c r="A270" s="62"/>
      <c r="B270" s="117"/>
      <c r="C270" s="113" t="s">
        <v>4</v>
      </c>
      <c r="D270" s="73">
        <v>1.55</v>
      </c>
      <c r="E270" s="55">
        <v>2.92</v>
      </c>
      <c r="F270" s="55">
        <v>1.37</v>
      </c>
      <c r="G270" s="55">
        <v>4.5</v>
      </c>
      <c r="H270" s="58" t="s">
        <v>44</v>
      </c>
      <c r="I270" s="176"/>
      <c r="J270" s="167"/>
      <c r="K270" s="167"/>
      <c r="L270" s="167"/>
      <c r="M270" s="167"/>
      <c r="N270" s="167"/>
      <c r="O270" s="167"/>
      <c r="P270" s="167"/>
      <c r="Q270" s="162">
        <v>80640010208</v>
      </c>
      <c r="R270" s="162">
        <v>80640010208</v>
      </c>
      <c r="T270" s="171"/>
      <c r="U270" s="172"/>
    </row>
    <row r="271" spans="1:21" x14ac:dyDescent="0.25">
      <c r="A271" s="62"/>
      <c r="B271" s="117"/>
      <c r="C271" s="113" t="s">
        <v>4</v>
      </c>
      <c r="D271" s="73">
        <v>2.92</v>
      </c>
      <c r="E271" s="55">
        <f>2.92+0.27</f>
        <v>3.19</v>
      </c>
      <c r="F271" s="55">
        <v>0.27</v>
      </c>
      <c r="G271" s="55">
        <v>4.5</v>
      </c>
      <c r="H271" s="58" t="s">
        <v>44</v>
      </c>
      <c r="I271" s="176"/>
      <c r="J271" s="167"/>
      <c r="K271" s="167"/>
      <c r="L271" s="167"/>
      <c r="M271" s="167"/>
      <c r="N271" s="167"/>
      <c r="O271" s="167"/>
      <c r="P271" s="167"/>
      <c r="Q271" s="139" t="s">
        <v>49</v>
      </c>
      <c r="R271" s="162">
        <v>80640010024</v>
      </c>
      <c r="U271" s="172"/>
    </row>
    <row r="272" spans="1:21" x14ac:dyDescent="0.25">
      <c r="A272" s="62"/>
      <c r="B272" s="117"/>
      <c r="C272" s="113" t="s">
        <v>4</v>
      </c>
      <c r="D272" s="73">
        <v>3.19</v>
      </c>
      <c r="E272" s="55">
        <v>3.67</v>
      </c>
      <c r="F272" s="55">
        <v>0.48</v>
      </c>
      <c r="G272" s="55">
        <v>4</v>
      </c>
      <c r="H272" s="58" t="s">
        <v>44</v>
      </c>
      <c r="I272" s="176"/>
      <c r="J272" s="167"/>
      <c r="K272" s="167"/>
      <c r="L272" s="167"/>
      <c r="M272" s="167"/>
      <c r="N272" s="167"/>
      <c r="O272" s="167"/>
      <c r="P272" s="167"/>
      <c r="Q272" s="139" t="s">
        <v>49</v>
      </c>
      <c r="R272" s="162">
        <v>80640010086</v>
      </c>
      <c r="U272" s="172"/>
    </row>
    <row r="273" spans="1:21" x14ac:dyDescent="0.25">
      <c r="A273" s="62"/>
      <c r="B273" s="117"/>
      <c r="C273" s="113" t="s">
        <v>4</v>
      </c>
      <c r="D273" s="73">
        <v>3.67</v>
      </c>
      <c r="E273" s="55">
        <v>4.01</v>
      </c>
      <c r="F273" s="55">
        <v>0.34</v>
      </c>
      <c r="G273" s="55">
        <v>4.5</v>
      </c>
      <c r="H273" s="58" t="s">
        <v>44</v>
      </c>
      <c r="I273" s="176"/>
      <c r="J273" s="167"/>
      <c r="K273" s="167"/>
      <c r="L273" s="167"/>
      <c r="M273" s="167"/>
      <c r="N273" s="167"/>
      <c r="O273" s="167"/>
      <c r="P273" s="167"/>
      <c r="Q273" s="162">
        <v>80640010169</v>
      </c>
      <c r="R273" s="162">
        <v>80640010169</v>
      </c>
      <c r="T273" s="171"/>
      <c r="U273" s="172"/>
    </row>
    <row r="274" spans="1:21" x14ac:dyDescent="0.25">
      <c r="A274" s="67"/>
      <c r="B274" s="119"/>
      <c r="C274" s="113" t="s">
        <v>4</v>
      </c>
      <c r="D274" s="73">
        <v>4.01</v>
      </c>
      <c r="E274" s="55">
        <v>5.71</v>
      </c>
      <c r="F274" s="55">
        <v>1.7</v>
      </c>
      <c r="G274" s="55">
        <v>5</v>
      </c>
      <c r="H274" s="58" t="s">
        <v>44</v>
      </c>
      <c r="I274" s="167"/>
      <c r="J274" s="167"/>
      <c r="K274" s="167"/>
      <c r="L274" s="167"/>
      <c r="M274" s="167"/>
      <c r="N274" s="167"/>
      <c r="O274" s="167"/>
      <c r="P274" s="167"/>
      <c r="Q274" s="162">
        <v>80640020613</v>
      </c>
      <c r="R274" s="162">
        <v>80640020613</v>
      </c>
      <c r="T274" s="171"/>
      <c r="U274" s="172"/>
    </row>
    <row r="275" spans="1:21" x14ac:dyDescent="0.25">
      <c r="A275" s="67">
        <v>11</v>
      </c>
      <c r="B275" s="120" t="s">
        <v>222</v>
      </c>
      <c r="C275" s="174" t="s">
        <v>4</v>
      </c>
      <c r="D275" s="55">
        <v>0</v>
      </c>
      <c r="E275" s="55">
        <v>0.25</v>
      </c>
      <c r="F275" s="55">
        <v>0.25</v>
      </c>
      <c r="G275" s="55">
        <v>3.5</v>
      </c>
      <c r="H275" s="58" t="s">
        <v>59</v>
      </c>
      <c r="I275" s="167"/>
      <c r="J275" s="167"/>
      <c r="K275" s="167"/>
      <c r="L275" s="167"/>
      <c r="M275" s="167"/>
      <c r="N275" s="167"/>
      <c r="O275" s="167"/>
      <c r="P275" s="167"/>
      <c r="Q275" s="162">
        <v>80640020614</v>
      </c>
      <c r="R275" s="162">
        <v>80640020614</v>
      </c>
      <c r="T275" s="171"/>
      <c r="U275" s="172"/>
    </row>
    <row r="276" spans="1:21" x14ac:dyDescent="0.25">
      <c r="A276" s="52">
        <v>12</v>
      </c>
      <c r="B276" s="112" t="s">
        <v>223</v>
      </c>
      <c r="C276" s="175" t="s">
        <v>4</v>
      </c>
      <c r="D276" s="55">
        <v>0</v>
      </c>
      <c r="E276" s="55">
        <v>0.25</v>
      </c>
      <c r="F276" s="55">
        <v>0.25</v>
      </c>
      <c r="G276" s="55">
        <v>4</v>
      </c>
      <c r="H276" s="58" t="s">
        <v>44</v>
      </c>
      <c r="I276" s="167"/>
      <c r="J276" s="167"/>
      <c r="K276" s="167"/>
      <c r="L276" s="167"/>
      <c r="M276" s="167"/>
      <c r="N276" s="167"/>
      <c r="O276" s="167"/>
      <c r="P276" s="167"/>
      <c r="Q276" s="162">
        <v>80640020669</v>
      </c>
      <c r="R276" s="162">
        <v>80640020669</v>
      </c>
      <c r="T276" s="171"/>
      <c r="U276" s="172"/>
    </row>
    <row r="277" spans="1:21" x14ac:dyDescent="0.25">
      <c r="A277" s="130">
        <v>13</v>
      </c>
      <c r="B277" s="112" t="s">
        <v>224</v>
      </c>
      <c r="C277" s="113" t="s">
        <v>3</v>
      </c>
      <c r="D277" s="73">
        <v>0</v>
      </c>
      <c r="E277" s="55">
        <v>0.27</v>
      </c>
      <c r="F277" s="55">
        <v>0.27</v>
      </c>
      <c r="G277" s="55">
        <v>4</v>
      </c>
      <c r="H277" s="58" t="s">
        <v>44</v>
      </c>
      <c r="I277" s="167"/>
      <c r="J277" s="167"/>
      <c r="K277" s="167"/>
      <c r="L277" s="167"/>
      <c r="M277" s="167"/>
      <c r="N277" s="167"/>
      <c r="O277" s="167"/>
      <c r="P277" s="167"/>
      <c r="Q277" s="162">
        <v>80640020615</v>
      </c>
      <c r="R277" s="162">
        <v>80640020615</v>
      </c>
      <c r="T277" s="171"/>
      <c r="U277" s="172"/>
    </row>
    <row r="278" spans="1:21" x14ac:dyDescent="0.25">
      <c r="A278" s="129"/>
      <c r="B278" s="120"/>
      <c r="C278" s="113" t="s">
        <v>3</v>
      </c>
      <c r="D278" s="73">
        <v>0.27</v>
      </c>
      <c r="E278" s="55">
        <v>0.46</v>
      </c>
      <c r="F278" s="55">
        <v>0.19</v>
      </c>
      <c r="G278" s="173">
        <v>3.5</v>
      </c>
      <c r="H278" s="155" t="s">
        <v>46</v>
      </c>
      <c r="I278" s="167"/>
      <c r="J278" s="167"/>
      <c r="K278" s="167"/>
      <c r="L278" s="167"/>
      <c r="M278" s="167"/>
      <c r="N278" s="167"/>
      <c r="O278" s="167"/>
      <c r="P278" s="167"/>
      <c r="Q278" s="162">
        <v>80640020615</v>
      </c>
      <c r="R278" s="162">
        <v>80640020615</v>
      </c>
      <c r="T278" s="171"/>
      <c r="U278" s="172"/>
    </row>
    <row r="279" spans="1:21" x14ac:dyDescent="0.25">
      <c r="A279" s="67">
        <v>14</v>
      </c>
      <c r="B279" s="120" t="s">
        <v>225</v>
      </c>
      <c r="C279" s="174" t="s">
        <v>4</v>
      </c>
      <c r="D279" s="55">
        <v>0</v>
      </c>
      <c r="E279" s="55">
        <v>0.26</v>
      </c>
      <c r="F279" s="55">
        <v>0.26</v>
      </c>
      <c r="G279" s="55">
        <v>5.5</v>
      </c>
      <c r="H279" s="58" t="s">
        <v>44</v>
      </c>
      <c r="I279" s="167"/>
      <c r="J279" s="167"/>
      <c r="K279" s="167"/>
      <c r="L279" s="167"/>
      <c r="M279" s="167"/>
      <c r="N279" s="167"/>
      <c r="O279" s="167"/>
      <c r="P279" s="167"/>
      <c r="Q279" s="162">
        <v>80640020630</v>
      </c>
      <c r="R279" s="162">
        <v>80640020630</v>
      </c>
      <c r="T279" s="171"/>
      <c r="U279" s="172"/>
    </row>
    <row r="280" spans="1:21" x14ac:dyDescent="0.25">
      <c r="A280" s="52">
        <v>15</v>
      </c>
      <c r="B280" s="112" t="s">
        <v>226</v>
      </c>
      <c r="C280" s="175" t="s">
        <v>3</v>
      </c>
      <c r="D280" s="55">
        <v>0</v>
      </c>
      <c r="E280" s="55">
        <v>0.69</v>
      </c>
      <c r="F280" s="55">
        <v>0.69</v>
      </c>
      <c r="G280" s="55">
        <v>3.4</v>
      </c>
      <c r="H280" s="58" t="s">
        <v>44</v>
      </c>
      <c r="I280" s="167"/>
      <c r="J280" s="167"/>
      <c r="K280" s="167"/>
      <c r="L280" s="167"/>
      <c r="M280" s="167"/>
      <c r="N280" s="167"/>
      <c r="O280" s="167"/>
      <c r="P280" s="167"/>
      <c r="Q280" s="162">
        <v>80640061293</v>
      </c>
      <c r="R280" s="162">
        <v>80640061293</v>
      </c>
      <c r="T280" s="171"/>
      <c r="U280" s="172"/>
    </row>
    <row r="281" spans="1:21" x14ac:dyDescent="0.25">
      <c r="A281" s="52">
        <v>16</v>
      </c>
      <c r="B281" s="70" t="s">
        <v>227</v>
      </c>
      <c r="C281" s="113" t="s">
        <v>3</v>
      </c>
      <c r="D281" s="73">
        <v>0</v>
      </c>
      <c r="E281" s="55">
        <v>0.86</v>
      </c>
      <c r="F281" s="55">
        <v>0.86</v>
      </c>
      <c r="G281" s="55">
        <v>4.5</v>
      </c>
      <c r="H281" s="58" t="s">
        <v>44</v>
      </c>
      <c r="I281" s="167"/>
      <c r="J281" s="167"/>
      <c r="K281" s="167"/>
      <c r="L281" s="167"/>
      <c r="M281" s="167"/>
      <c r="N281" s="167"/>
      <c r="O281" s="167"/>
      <c r="P281" s="167"/>
      <c r="Q281" s="162">
        <v>80640030242</v>
      </c>
      <c r="R281" s="162">
        <v>80640030242</v>
      </c>
      <c r="T281" s="171"/>
      <c r="U281" s="172"/>
    </row>
    <row r="282" spans="1:21" x14ac:dyDescent="0.25">
      <c r="A282" s="62"/>
      <c r="B282" s="117"/>
      <c r="C282" s="113" t="s">
        <v>3</v>
      </c>
      <c r="D282" s="73">
        <v>0.86</v>
      </c>
      <c r="E282" s="55">
        <v>0.91</v>
      </c>
      <c r="F282" s="55">
        <v>0.05</v>
      </c>
      <c r="G282" s="55">
        <v>5</v>
      </c>
      <c r="H282" s="58" t="s">
        <v>44</v>
      </c>
      <c r="I282" s="167"/>
      <c r="J282" s="167"/>
      <c r="K282" s="167"/>
      <c r="L282" s="167"/>
      <c r="M282" s="167"/>
      <c r="N282" s="167"/>
      <c r="O282" s="167"/>
      <c r="P282" s="167"/>
      <c r="Q282" s="139" t="s">
        <v>49</v>
      </c>
      <c r="R282" s="162">
        <v>80640030069</v>
      </c>
      <c r="U282" s="172"/>
    </row>
    <row r="283" spans="1:21" x14ac:dyDescent="0.25">
      <c r="A283" s="62"/>
      <c r="B283" s="117"/>
      <c r="C283" s="113" t="s">
        <v>3</v>
      </c>
      <c r="D283" s="73">
        <v>0.91</v>
      </c>
      <c r="E283" s="55">
        <v>1.29</v>
      </c>
      <c r="F283" s="55">
        <f>E283-D283</f>
        <v>0.38</v>
      </c>
      <c r="G283" s="55">
        <v>5</v>
      </c>
      <c r="H283" s="58" t="s">
        <v>44</v>
      </c>
      <c r="I283" s="167"/>
      <c r="J283" s="167"/>
      <c r="K283" s="167"/>
      <c r="L283" s="167"/>
      <c r="M283" s="167"/>
      <c r="N283" s="167"/>
      <c r="O283" s="167"/>
      <c r="P283" s="167"/>
      <c r="Q283" s="139" t="s">
        <v>49</v>
      </c>
      <c r="R283" s="162">
        <v>80640030013</v>
      </c>
      <c r="U283" s="172"/>
    </row>
    <row r="284" spans="1:21" x14ac:dyDescent="0.25">
      <c r="A284" s="62"/>
      <c r="B284" s="117"/>
      <c r="C284" s="113" t="s">
        <v>3</v>
      </c>
      <c r="D284" s="73">
        <v>1.29</v>
      </c>
      <c r="E284" s="55">
        <v>1.77</v>
      </c>
      <c r="F284" s="55">
        <v>0.48</v>
      </c>
      <c r="G284" s="55">
        <v>5</v>
      </c>
      <c r="H284" s="58" t="s">
        <v>44</v>
      </c>
      <c r="I284" s="167"/>
      <c r="J284" s="167"/>
      <c r="K284" s="167"/>
      <c r="L284" s="167"/>
      <c r="M284" s="167"/>
      <c r="N284" s="167"/>
      <c r="O284" s="167"/>
      <c r="P284" s="167"/>
      <c r="Q284" s="162">
        <v>80640030298</v>
      </c>
      <c r="R284" s="162">
        <v>80640030298</v>
      </c>
      <c r="T284" s="171"/>
      <c r="U284" s="172"/>
    </row>
    <row r="285" spans="1:21" x14ac:dyDescent="0.25">
      <c r="A285" s="62"/>
      <c r="B285" s="117"/>
      <c r="C285" s="113" t="s">
        <v>3</v>
      </c>
      <c r="D285" s="73">
        <f>E284</f>
        <v>1.77</v>
      </c>
      <c r="E285" s="55">
        <f>D285+F285</f>
        <v>1.83</v>
      </c>
      <c r="F285" s="55">
        <v>0.06</v>
      </c>
      <c r="G285" s="55">
        <v>4.5</v>
      </c>
      <c r="H285" s="58" t="s">
        <v>44</v>
      </c>
      <c r="I285" s="167"/>
      <c r="J285" s="167"/>
      <c r="K285" s="167"/>
      <c r="L285" s="167"/>
      <c r="M285" s="167"/>
      <c r="N285" s="167"/>
      <c r="O285" s="167"/>
      <c r="P285" s="167"/>
      <c r="Q285" s="139" t="s">
        <v>49</v>
      </c>
      <c r="R285" s="162">
        <v>80640030009</v>
      </c>
      <c r="U285" s="172"/>
    </row>
    <row r="286" spans="1:21" x14ac:dyDescent="0.25">
      <c r="A286" s="62"/>
      <c r="B286" s="117"/>
      <c r="C286" s="113" t="s">
        <v>3</v>
      </c>
      <c r="D286" s="73">
        <f t="shared" ref="D286:D288" si="20">E285</f>
        <v>1.83</v>
      </c>
      <c r="E286" s="55">
        <f t="shared" ref="E286:E288" si="21">D286+F286</f>
        <v>1.8800000000000001</v>
      </c>
      <c r="F286" s="55">
        <v>0.05</v>
      </c>
      <c r="G286" s="55">
        <v>4.5</v>
      </c>
      <c r="H286" s="58" t="s">
        <v>44</v>
      </c>
      <c r="I286" s="167"/>
      <c r="J286" s="167"/>
      <c r="K286" s="167"/>
      <c r="L286" s="167"/>
      <c r="M286" s="167"/>
      <c r="N286" s="167"/>
      <c r="O286" s="167"/>
      <c r="P286" s="167"/>
      <c r="Q286" s="139" t="s">
        <v>49</v>
      </c>
      <c r="R286" s="164">
        <v>80640030015</v>
      </c>
      <c r="U286" s="172"/>
    </row>
    <row r="287" spans="1:21" x14ac:dyDescent="0.25">
      <c r="A287" s="62"/>
      <c r="B287" s="117"/>
      <c r="C287" s="113" t="s">
        <v>3</v>
      </c>
      <c r="D287" s="73">
        <f t="shared" si="20"/>
        <v>1.8800000000000001</v>
      </c>
      <c r="E287" s="55">
        <f t="shared" si="21"/>
        <v>1.9100000000000001</v>
      </c>
      <c r="F287" s="55">
        <v>0.03</v>
      </c>
      <c r="G287" s="55">
        <v>4.5</v>
      </c>
      <c r="H287" s="58" t="s">
        <v>44</v>
      </c>
      <c r="I287" s="167"/>
      <c r="J287" s="167"/>
      <c r="K287" s="167"/>
      <c r="L287" s="167"/>
      <c r="M287" s="167"/>
      <c r="N287" s="167"/>
      <c r="O287" s="167"/>
      <c r="P287" s="167"/>
      <c r="Q287" s="139" t="s">
        <v>49</v>
      </c>
      <c r="R287" s="162">
        <v>80640030080</v>
      </c>
      <c r="U287" s="172"/>
    </row>
    <row r="288" spans="1:21" x14ac:dyDescent="0.25">
      <c r="A288" s="67"/>
      <c r="B288" s="117"/>
      <c r="C288" s="113" t="s">
        <v>3</v>
      </c>
      <c r="D288" s="73">
        <f t="shared" si="20"/>
        <v>1.9100000000000001</v>
      </c>
      <c r="E288" s="55">
        <f t="shared" si="21"/>
        <v>1.9800000000000002</v>
      </c>
      <c r="F288" s="55">
        <v>7.0000000000000007E-2</v>
      </c>
      <c r="G288" s="55">
        <v>4.5</v>
      </c>
      <c r="H288" s="58" t="s">
        <v>44</v>
      </c>
      <c r="I288" s="167"/>
      <c r="J288" s="167"/>
      <c r="K288" s="167"/>
      <c r="L288" s="167"/>
      <c r="M288" s="167"/>
      <c r="N288" s="167"/>
      <c r="O288" s="167"/>
      <c r="P288" s="167"/>
      <c r="Q288" s="139" t="s">
        <v>49</v>
      </c>
      <c r="R288" s="162">
        <v>80640030079</v>
      </c>
      <c r="U288" s="172"/>
    </row>
    <row r="289" spans="1:21" ht="23.25" x14ac:dyDescent="0.25">
      <c r="A289" s="52">
        <v>17</v>
      </c>
      <c r="B289" s="70" t="s">
        <v>228</v>
      </c>
      <c r="C289" s="113" t="s">
        <v>4</v>
      </c>
      <c r="D289" s="73">
        <v>0</v>
      </c>
      <c r="E289" s="55">
        <v>0.06</v>
      </c>
      <c r="F289" s="55">
        <v>0.06</v>
      </c>
      <c r="G289" s="55">
        <v>3</v>
      </c>
      <c r="H289" s="58" t="s">
        <v>44</v>
      </c>
      <c r="I289" s="167"/>
      <c r="J289" s="167"/>
      <c r="K289" s="167"/>
      <c r="L289" s="167"/>
      <c r="M289" s="167"/>
      <c r="N289" s="167"/>
      <c r="O289" s="167"/>
      <c r="P289" s="167"/>
      <c r="Q289" s="139" t="s">
        <v>49</v>
      </c>
      <c r="R289" s="164" t="s">
        <v>229</v>
      </c>
      <c r="U289" s="172"/>
    </row>
    <row r="290" spans="1:21" x14ac:dyDescent="0.25">
      <c r="A290" s="62"/>
      <c r="B290" s="117"/>
      <c r="C290" s="113" t="s">
        <v>4</v>
      </c>
      <c r="D290" s="73">
        <v>0.06</v>
      </c>
      <c r="E290" s="55">
        <v>0.13</v>
      </c>
      <c r="F290" s="55">
        <v>7.0000000000000007E-2</v>
      </c>
      <c r="G290" s="55">
        <v>3</v>
      </c>
      <c r="H290" s="58" t="s">
        <v>44</v>
      </c>
      <c r="I290" s="167"/>
      <c r="J290" s="167"/>
      <c r="K290" s="167"/>
      <c r="L290" s="167"/>
      <c r="M290" s="167"/>
      <c r="N290" s="167"/>
      <c r="O290" s="167"/>
      <c r="P290" s="167"/>
      <c r="Q290" s="162">
        <v>80640060802</v>
      </c>
      <c r="R290" s="162">
        <v>80640060802</v>
      </c>
      <c r="T290" s="171"/>
      <c r="U290" s="172"/>
    </row>
    <row r="291" spans="1:21" ht="34.5" x14ac:dyDescent="0.25">
      <c r="A291" s="67"/>
      <c r="B291" s="119"/>
      <c r="C291" s="113" t="s">
        <v>4</v>
      </c>
      <c r="D291" s="73">
        <v>0.13</v>
      </c>
      <c r="E291" s="55">
        <v>0</v>
      </c>
      <c r="F291" s="55">
        <v>7.0000000000000007E-2</v>
      </c>
      <c r="G291" s="55">
        <v>3</v>
      </c>
      <c r="H291" s="58" t="s">
        <v>44</v>
      </c>
      <c r="I291" s="167"/>
      <c r="J291" s="167"/>
      <c r="K291" s="167"/>
      <c r="L291" s="167"/>
      <c r="M291" s="167"/>
      <c r="N291" s="167"/>
      <c r="O291" s="167"/>
      <c r="P291" s="167"/>
      <c r="Q291" s="139" t="s">
        <v>49</v>
      </c>
      <c r="R291" s="164" t="s">
        <v>230</v>
      </c>
      <c r="U291" s="172"/>
    </row>
    <row r="292" spans="1:21" x14ac:dyDescent="0.25">
      <c r="A292" s="67">
        <v>18</v>
      </c>
      <c r="B292" s="120" t="s">
        <v>231</v>
      </c>
      <c r="C292" s="113" t="s">
        <v>4</v>
      </c>
      <c r="D292" s="55">
        <v>0</v>
      </c>
      <c r="E292" s="55">
        <v>0.15</v>
      </c>
      <c r="F292" s="55">
        <v>0.15</v>
      </c>
      <c r="G292" s="55">
        <v>3.8</v>
      </c>
      <c r="H292" s="58" t="s">
        <v>44</v>
      </c>
      <c r="I292" s="167"/>
      <c r="J292" s="167"/>
      <c r="K292" s="167"/>
      <c r="L292" s="167"/>
      <c r="M292" s="167"/>
      <c r="N292" s="167"/>
      <c r="O292" s="167"/>
      <c r="P292" s="167"/>
      <c r="Q292" s="162">
        <v>80640060483</v>
      </c>
      <c r="R292" s="162">
        <v>80640060483</v>
      </c>
      <c r="T292" s="171"/>
      <c r="U292" s="172"/>
    </row>
    <row r="293" spans="1:21" x14ac:dyDescent="0.25">
      <c r="A293" s="59">
        <v>19</v>
      </c>
      <c r="B293" s="76" t="s">
        <v>232</v>
      </c>
      <c r="C293" s="113" t="s">
        <v>3</v>
      </c>
      <c r="D293" s="55">
        <v>0</v>
      </c>
      <c r="E293" s="55">
        <v>0.57999999999999996</v>
      </c>
      <c r="F293" s="55">
        <v>0.57999999999999996</v>
      </c>
      <c r="G293" s="55">
        <v>6.5</v>
      </c>
      <c r="H293" s="58" t="s">
        <v>44</v>
      </c>
      <c r="I293" s="167"/>
      <c r="J293" s="167"/>
      <c r="K293" s="167"/>
      <c r="L293" s="167"/>
      <c r="M293" s="167"/>
      <c r="N293" s="167"/>
      <c r="O293" s="167"/>
      <c r="P293" s="167"/>
      <c r="Q293" s="162">
        <v>80640060799</v>
      </c>
      <c r="R293" s="162">
        <v>80640060799</v>
      </c>
      <c r="T293" s="171"/>
      <c r="U293" s="172"/>
    </row>
    <row r="294" spans="1:21" x14ac:dyDescent="0.25">
      <c r="A294" s="59">
        <v>20</v>
      </c>
      <c r="B294" s="76" t="s">
        <v>233</v>
      </c>
      <c r="C294" s="113" t="s">
        <v>4</v>
      </c>
      <c r="D294" s="55">
        <v>0</v>
      </c>
      <c r="E294" s="55">
        <v>0.71</v>
      </c>
      <c r="F294" s="55">
        <v>0.71</v>
      </c>
      <c r="G294" s="55">
        <v>5</v>
      </c>
      <c r="H294" s="58" t="s">
        <v>59</v>
      </c>
      <c r="I294" s="167"/>
      <c r="J294" s="167"/>
      <c r="K294" s="167"/>
      <c r="L294" s="167"/>
      <c r="M294" s="167"/>
      <c r="N294" s="167"/>
      <c r="O294" s="167"/>
      <c r="P294" s="167"/>
      <c r="Q294" s="162">
        <v>80640030279</v>
      </c>
      <c r="R294" s="162">
        <v>80640030279</v>
      </c>
      <c r="T294" s="171"/>
      <c r="U294" s="172"/>
    </row>
    <row r="295" spans="1:21" x14ac:dyDescent="0.25">
      <c r="A295" s="59">
        <v>21</v>
      </c>
      <c r="B295" s="76" t="s">
        <v>234</v>
      </c>
      <c r="C295" s="113" t="s">
        <v>4</v>
      </c>
      <c r="D295" s="55">
        <v>0</v>
      </c>
      <c r="E295" s="55">
        <v>0.14000000000000001</v>
      </c>
      <c r="F295" s="55">
        <v>0.14000000000000001</v>
      </c>
      <c r="G295" s="55">
        <v>2.5</v>
      </c>
      <c r="H295" s="58" t="s">
        <v>44</v>
      </c>
      <c r="I295" s="167"/>
      <c r="J295" s="167"/>
      <c r="K295" s="167"/>
      <c r="L295" s="167"/>
      <c r="M295" s="167"/>
      <c r="N295" s="167"/>
      <c r="O295" s="167"/>
      <c r="P295" s="167"/>
      <c r="Q295" s="162">
        <v>80640030122</v>
      </c>
      <c r="R295" s="162">
        <v>80640030122</v>
      </c>
      <c r="T295" s="171"/>
      <c r="U295" s="172"/>
    </row>
    <row r="296" spans="1:21" ht="23.25" x14ac:dyDescent="0.25">
      <c r="A296" s="59">
        <v>22</v>
      </c>
      <c r="B296" s="76" t="s">
        <v>235</v>
      </c>
      <c r="C296" s="113" t="s">
        <v>4</v>
      </c>
      <c r="D296" s="55">
        <v>0</v>
      </c>
      <c r="E296" s="55">
        <v>1.35</v>
      </c>
      <c r="F296" s="55">
        <v>1.35</v>
      </c>
      <c r="G296" s="55">
        <v>5</v>
      </c>
      <c r="H296" s="58" t="s">
        <v>59</v>
      </c>
      <c r="I296" s="167"/>
      <c r="J296" s="167"/>
      <c r="K296" s="167"/>
      <c r="L296" s="167"/>
      <c r="M296" s="167"/>
      <c r="N296" s="167"/>
      <c r="O296" s="167"/>
      <c r="P296" s="167"/>
      <c r="Q296" s="162">
        <v>80640060815</v>
      </c>
      <c r="R296" s="162">
        <v>80640040022</v>
      </c>
      <c r="T296" s="171"/>
      <c r="U296" s="172"/>
    </row>
    <row r="297" spans="1:21" x14ac:dyDescent="0.25">
      <c r="A297" s="59">
        <v>23</v>
      </c>
      <c r="B297" s="76" t="s">
        <v>236</v>
      </c>
      <c r="C297" s="113" t="s">
        <v>4</v>
      </c>
      <c r="D297" s="55">
        <v>0</v>
      </c>
      <c r="E297" s="55">
        <v>1</v>
      </c>
      <c r="F297" s="55">
        <v>1</v>
      </c>
      <c r="G297" s="55">
        <v>3</v>
      </c>
      <c r="H297" s="58" t="s">
        <v>44</v>
      </c>
      <c r="I297" s="167"/>
      <c r="J297" s="167"/>
      <c r="K297" s="167"/>
      <c r="L297" s="167"/>
      <c r="M297" s="167"/>
      <c r="N297" s="167"/>
      <c r="O297" s="167"/>
      <c r="P297" s="167"/>
      <c r="Q297" s="162">
        <v>80640030278</v>
      </c>
      <c r="R297" s="162">
        <v>80640030278</v>
      </c>
      <c r="T297" s="171"/>
      <c r="U297" s="172"/>
    </row>
    <row r="298" spans="1:21" x14ac:dyDescent="0.25">
      <c r="A298" s="59">
        <v>24</v>
      </c>
      <c r="B298" s="76" t="s">
        <v>237</v>
      </c>
      <c r="C298" s="113" t="s">
        <v>4</v>
      </c>
      <c r="D298" s="55">
        <v>0</v>
      </c>
      <c r="E298" s="55">
        <v>0.1</v>
      </c>
      <c r="F298" s="55">
        <v>0.1</v>
      </c>
      <c r="G298" s="173">
        <v>3</v>
      </c>
      <c r="H298" s="155" t="s">
        <v>46</v>
      </c>
      <c r="I298" s="167"/>
      <c r="J298" s="167"/>
      <c r="K298" s="167"/>
      <c r="L298" s="167"/>
      <c r="M298" s="167"/>
      <c r="N298" s="167"/>
      <c r="O298" s="167"/>
      <c r="P298" s="167"/>
      <c r="Q298" s="162">
        <v>80640080210</v>
      </c>
      <c r="R298" s="162">
        <v>80640080210</v>
      </c>
      <c r="T298" s="171"/>
      <c r="U298" s="172"/>
    </row>
    <row r="299" spans="1:21" ht="23.25" x14ac:dyDescent="0.25">
      <c r="A299" s="59">
        <v>25</v>
      </c>
      <c r="B299" s="76" t="s">
        <v>238</v>
      </c>
      <c r="C299" s="113" t="s">
        <v>4</v>
      </c>
      <c r="D299" s="55">
        <v>0</v>
      </c>
      <c r="E299" s="55">
        <v>0.8</v>
      </c>
      <c r="F299" s="55">
        <v>0.8</v>
      </c>
      <c r="G299" s="55">
        <v>3.2</v>
      </c>
      <c r="H299" s="58" t="s">
        <v>44</v>
      </c>
      <c r="I299" s="167"/>
      <c r="J299" s="167"/>
      <c r="K299" s="167"/>
      <c r="L299" s="167"/>
      <c r="M299" s="167"/>
      <c r="N299" s="167"/>
      <c r="O299" s="167"/>
      <c r="P299" s="167"/>
      <c r="Q299" s="162">
        <v>80640010135</v>
      </c>
      <c r="R299" s="162">
        <v>80640010135</v>
      </c>
      <c r="T299" s="171"/>
      <c r="U299" s="172"/>
    </row>
    <row r="300" spans="1:21" x14ac:dyDescent="0.25">
      <c r="A300" s="59">
        <v>26</v>
      </c>
      <c r="B300" s="76" t="s">
        <v>239</v>
      </c>
      <c r="C300" s="113" t="s">
        <v>4</v>
      </c>
      <c r="D300" s="55">
        <v>0</v>
      </c>
      <c r="E300" s="55">
        <v>0.08</v>
      </c>
      <c r="F300" s="55">
        <v>0.08</v>
      </c>
      <c r="G300" s="55">
        <v>3.5</v>
      </c>
      <c r="H300" s="58" t="s">
        <v>44</v>
      </c>
      <c r="I300" s="167"/>
      <c r="J300" s="167"/>
      <c r="K300" s="167"/>
      <c r="L300" s="167"/>
      <c r="M300" s="167"/>
      <c r="N300" s="167"/>
      <c r="O300" s="167"/>
      <c r="P300" s="167"/>
      <c r="Q300" s="162">
        <v>80640050218</v>
      </c>
      <c r="R300" s="162">
        <v>80640050207</v>
      </c>
      <c r="T300" s="171"/>
      <c r="U300" s="172"/>
    </row>
    <row r="301" spans="1:21" ht="23.25" x14ac:dyDescent="0.25">
      <c r="A301" s="59">
        <v>27</v>
      </c>
      <c r="B301" s="76" t="s">
        <v>240</v>
      </c>
      <c r="C301" s="113" t="s">
        <v>4</v>
      </c>
      <c r="D301" s="55">
        <v>0</v>
      </c>
      <c r="E301" s="55">
        <v>0.05</v>
      </c>
      <c r="F301" s="55">
        <v>0.05</v>
      </c>
      <c r="G301" s="55">
        <v>3.2</v>
      </c>
      <c r="H301" s="58" t="s">
        <v>44</v>
      </c>
      <c r="I301" s="167"/>
      <c r="J301" s="167"/>
      <c r="K301" s="167"/>
      <c r="L301" s="167"/>
      <c r="M301" s="167"/>
      <c r="N301" s="167"/>
      <c r="O301" s="167"/>
      <c r="P301" s="167"/>
      <c r="Q301" s="162">
        <v>80640061157</v>
      </c>
      <c r="R301" s="162">
        <v>80640020763</v>
      </c>
      <c r="T301" s="171"/>
      <c r="U301" s="172"/>
    </row>
    <row r="302" spans="1:21" x14ac:dyDescent="0.25">
      <c r="A302" s="59">
        <v>28</v>
      </c>
      <c r="B302" s="76" t="s">
        <v>241</v>
      </c>
      <c r="C302" s="113" t="s">
        <v>4</v>
      </c>
      <c r="D302" s="55">
        <v>0</v>
      </c>
      <c r="E302" s="55">
        <v>1.05</v>
      </c>
      <c r="F302" s="55">
        <v>1.05</v>
      </c>
      <c r="G302" s="173">
        <v>4</v>
      </c>
      <c r="H302" s="155" t="s">
        <v>46</v>
      </c>
      <c r="I302" s="167"/>
      <c r="J302" s="167"/>
      <c r="K302" s="167"/>
      <c r="L302" s="167"/>
      <c r="M302" s="167"/>
      <c r="N302" s="167"/>
      <c r="O302" s="167"/>
      <c r="P302" s="167"/>
      <c r="Q302" s="162">
        <v>80640020622</v>
      </c>
      <c r="R302" s="162">
        <v>80640020622</v>
      </c>
      <c r="T302" s="171"/>
      <c r="U302" s="172"/>
    </row>
    <row r="303" spans="1:21" ht="23.25" x14ac:dyDescent="0.25">
      <c r="A303" s="52">
        <v>29</v>
      </c>
      <c r="B303" s="112" t="s">
        <v>242</v>
      </c>
      <c r="C303" s="175" t="s">
        <v>4</v>
      </c>
      <c r="D303" s="55">
        <v>0</v>
      </c>
      <c r="E303" s="55">
        <v>0.13</v>
      </c>
      <c r="F303" s="55">
        <v>0.13</v>
      </c>
      <c r="G303" s="55">
        <v>3</v>
      </c>
      <c r="H303" s="58" t="s">
        <v>44</v>
      </c>
      <c r="I303" s="167"/>
      <c r="J303" s="167"/>
      <c r="K303" s="167"/>
      <c r="L303" s="167"/>
      <c r="M303" s="167"/>
      <c r="N303" s="167"/>
      <c r="O303" s="167"/>
      <c r="P303" s="167"/>
      <c r="Q303" s="162">
        <v>80640010016</v>
      </c>
      <c r="R303" s="162">
        <v>80640010209</v>
      </c>
      <c r="T303" s="171"/>
      <c r="U303" s="172"/>
    </row>
    <row r="304" spans="1:21" x14ac:dyDescent="0.25">
      <c r="A304" s="52">
        <v>30</v>
      </c>
      <c r="B304" s="70" t="s">
        <v>243</v>
      </c>
      <c r="C304" s="113" t="s">
        <v>4</v>
      </c>
      <c r="D304" s="73">
        <v>0</v>
      </c>
      <c r="E304" s="55">
        <v>1.43</v>
      </c>
      <c r="F304" s="55">
        <v>1.43</v>
      </c>
      <c r="G304" s="55">
        <v>4.5</v>
      </c>
      <c r="H304" s="155" t="s">
        <v>46</v>
      </c>
      <c r="I304" s="167"/>
      <c r="J304" s="167"/>
      <c r="K304" s="167"/>
      <c r="L304" s="167"/>
      <c r="M304" s="167"/>
      <c r="N304" s="167"/>
      <c r="O304" s="167"/>
      <c r="P304" s="167"/>
      <c r="Q304" s="162">
        <v>80640020798</v>
      </c>
      <c r="R304" s="162">
        <v>80640020211</v>
      </c>
      <c r="T304" s="171"/>
      <c r="U304" s="172">
        <f>3.1+3.1+4+3.1+4</f>
        <v>17.299999999999997</v>
      </c>
    </row>
    <row r="305" spans="1:32" x14ac:dyDescent="0.25">
      <c r="A305" s="67"/>
      <c r="B305" s="119"/>
      <c r="C305" s="113" t="s">
        <v>4</v>
      </c>
      <c r="D305" s="73">
        <v>1.43</v>
      </c>
      <c r="E305" s="55">
        <v>2.5499999999999998</v>
      </c>
      <c r="F305" s="55">
        <v>1.1200000000000001</v>
      </c>
      <c r="G305" s="55">
        <v>4.5</v>
      </c>
      <c r="H305" s="155" t="s">
        <v>46</v>
      </c>
      <c r="I305" s="167"/>
      <c r="J305" s="167"/>
      <c r="K305" s="167"/>
      <c r="L305" s="167"/>
      <c r="M305" s="167"/>
      <c r="N305" s="167"/>
      <c r="O305" s="167"/>
      <c r="P305" s="167"/>
      <c r="Q305" s="162"/>
      <c r="R305" s="162">
        <v>80640060609</v>
      </c>
      <c r="T305" s="171"/>
      <c r="U305" s="172">
        <f>U304/5</f>
        <v>3.4599999999999995</v>
      </c>
    </row>
    <row r="306" spans="1:32" x14ac:dyDescent="0.25">
      <c r="A306" s="67">
        <v>31</v>
      </c>
      <c r="B306" s="120" t="s">
        <v>244</v>
      </c>
      <c r="C306" s="174" t="s">
        <v>4</v>
      </c>
      <c r="D306" s="55">
        <v>0</v>
      </c>
      <c r="E306" s="55">
        <v>0.71</v>
      </c>
      <c r="F306" s="55">
        <v>0.71</v>
      </c>
      <c r="G306" s="55">
        <v>5</v>
      </c>
      <c r="H306" s="177" t="s">
        <v>46</v>
      </c>
      <c r="I306" s="167"/>
      <c r="J306" s="167"/>
      <c r="K306" s="167"/>
      <c r="L306" s="167"/>
      <c r="M306" s="167"/>
      <c r="N306" s="167"/>
      <c r="O306" s="167"/>
      <c r="P306" s="167"/>
      <c r="Q306" s="162">
        <v>80640010235</v>
      </c>
      <c r="R306" s="162">
        <v>80640010206</v>
      </c>
      <c r="T306" s="171"/>
      <c r="U306" s="172"/>
    </row>
    <row r="307" spans="1:32" x14ac:dyDescent="0.25">
      <c r="A307" s="59">
        <v>32</v>
      </c>
      <c r="B307" s="76" t="s">
        <v>245</v>
      </c>
      <c r="C307" s="113" t="s">
        <v>4</v>
      </c>
      <c r="D307" s="55">
        <v>0</v>
      </c>
      <c r="E307" s="55">
        <v>1.04</v>
      </c>
      <c r="F307" s="55">
        <v>1.04</v>
      </c>
      <c r="G307" s="55">
        <v>3.5</v>
      </c>
      <c r="H307" s="128" t="s">
        <v>46</v>
      </c>
      <c r="I307" s="167"/>
      <c r="J307" s="167"/>
      <c r="K307" s="167"/>
      <c r="L307" s="167"/>
      <c r="M307" s="167"/>
      <c r="N307" s="167"/>
      <c r="O307" s="167"/>
      <c r="P307" s="167"/>
      <c r="Q307" s="162">
        <v>80640020793</v>
      </c>
      <c r="R307" s="162">
        <v>80640020791</v>
      </c>
      <c r="T307" s="171"/>
      <c r="U307" s="172"/>
    </row>
    <row r="308" spans="1:32" ht="23.25" x14ac:dyDescent="0.25">
      <c r="A308" s="52">
        <v>33</v>
      </c>
      <c r="B308" s="112" t="s">
        <v>246</v>
      </c>
      <c r="C308" s="113" t="s">
        <v>4</v>
      </c>
      <c r="D308" s="57">
        <v>0</v>
      </c>
      <c r="E308" s="57">
        <v>0.5</v>
      </c>
      <c r="F308" s="57">
        <v>0.5</v>
      </c>
      <c r="G308" s="57">
        <v>3.5</v>
      </c>
      <c r="H308" s="128" t="s">
        <v>46</v>
      </c>
      <c r="I308" s="167"/>
      <c r="J308" s="167"/>
      <c r="K308" s="167"/>
      <c r="L308" s="167"/>
      <c r="M308" s="167"/>
      <c r="N308" s="167"/>
      <c r="O308" s="167"/>
      <c r="P308" s="167"/>
      <c r="Q308" s="139" t="s">
        <v>49</v>
      </c>
      <c r="R308" s="162">
        <v>80640020795</v>
      </c>
      <c r="U308" s="172"/>
    </row>
    <row r="309" spans="1:32" ht="23.25" x14ac:dyDescent="0.25">
      <c r="A309" s="52">
        <v>34</v>
      </c>
      <c r="B309" s="70" t="s">
        <v>247</v>
      </c>
      <c r="C309" s="178" t="s">
        <v>4</v>
      </c>
      <c r="D309" s="57">
        <v>0</v>
      </c>
      <c r="E309" s="57">
        <v>0.14000000000000001</v>
      </c>
      <c r="F309" s="57">
        <v>0.14000000000000001</v>
      </c>
      <c r="G309" s="57">
        <v>3.5</v>
      </c>
      <c r="H309" s="128" t="s">
        <v>44</v>
      </c>
      <c r="I309" s="167"/>
      <c r="J309" s="167"/>
      <c r="K309" s="167"/>
      <c r="L309" s="167"/>
      <c r="M309" s="167"/>
      <c r="N309" s="167"/>
      <c r="O309" s="167"/>
      <c r="P309" s="167"/>
      <c r="Q309" s="139" t="s">
        <v>49</v>
      </c>
      <c r="R309" s="164" t="s">
        <v>248</v>
      </c>
      <c r="S309" s="179"/>
      <c r="U309" s="172"/>
    </row>
    <row r="310" spans="1:32" ht="45.75" x14ac:dyDescent="0.25">
      <c r="A310" s="62"/>
      <c r="B310" s="117"/>
      <c r="C310" s="178"/>
      <c r="D310" s="55"/>
      <c r="E310" s="55"/>
      <c r="F310" s="55"/>
      <c r="G310" s="55"/>
      <c r="H310" s="128"/>
      <c r="I310" s="167"/>
      <c r="J310" s="167"/>
      <c r="K310" s="167"/>
      <c r="L310" s="167"/>
      <c r="M310" s="167"/>
      <c r="N310" s="167"/>
      <c r="O310" s="167"/>
      <c r="P310" s="167"/>
      <c r="Q310" s="61">
        <v>80640020677</v>
      </c>
      <c r="R310" s="164" t="s">
        <v>249</v>
      </c>
      <c r="U310" s="172"/>
    </row>
    <row r="311" spans="1:32" ht="45" x14ac:dyDescent="0.25">
      <c r="A311" s="62"/>
      <c r="B311" s="117"/>
      <c r="C311" s="178" t="s">
        <v>4</v>
      </c>
      <c r="D311" s="57">
        <v>0.14000000000000001</v>
      </c>
      <c r="E311" s="57">
        <f>D311+F311</f>
        <v>0.32</v>
      </c>
      <c r="F311" s="57">
        <v>0.18</v>
      </c>
      <c r="G311" s="57">
        <v>4</v>
      </c>
      <c r="H311" s="128" t="s">
        <v>44</v>
      </c>
      <c r="I311" s="167"/>
      <c r="J311" s="167"/>
      <c r="K311" s="167"/>
      <c r="L311" s="167"/>
      <c r="M311" s="167"/>
      <c r="N311" s="167"/>
      <c r="O311" s="167"/>
      <c r="P311" s="167"/>
      <c r="Q311" s="113" t="s">
        <v>250</v>
      </c>
      <c r="R311" s="164"/>
      <c r="U311" s="172"/>
    </row>
    <row r="312" spans="1:32" ht="22.5" x14ac:dyDescent="0.25">
      <c r="A312" s="67"/>
      <c r="B312" s="119"/>
      <c r="C312" s="178" t="s">
        <v>4</v>
      </c>
      <c r="D312" s="57">
        <v>0.32</v>
      </c>
      <c r="E312" s="57">
        <f>D312+F312</f>
        <v>0.46</v>
      </c>
      <c r="F312" s="57">
        <v>0.14000000000000001</v>
      </c>
      <c r="G312" s="57">
        <v>3.5</v>
      </c>
      <c r="H312" s="128" t="s">
        <v>44</v>
      </c>
      <c r="I312" s="167"/>
      <c r="J312" s="167"/>
      <c r="K312" s="167"/>
      <c r="L312" s="167"/>
      <c r="M312" s="167"/>
      <c r="N312" s="167"/>
      <c r="O312" s="167"/>
      <c r="P312" s="167"/>
      <c r="Q312" s="139" t="s">
        <v>49</v>
      </c>
      <c r="R312" s="113" t="s">
        <v>251</v>
      </c>
      <c r="U312" s="172"/>
      <c r="AA312" t="s">
        <v>70</v>
      </c>
    </row>
    <row r="313" spans="1:32" ht="23.25" x14ac:dyDescent="0.25">
      <c r="A313" s="9"/>
      <c r="B313" s="180"/>
      <c r="C313" s="181"/>
      <c r="D313" s="171"/>
      <c r="E313" s="171"/>
      <c r="F313" s="171"/>
      <c r="G313" s="171"/>
      <c r="H313" s="182"/>
      <c r="K313" s="78" t="s">
        <v>71</v>
      </c>
      <c r="L313" s="81">
        <f>SUM(L251:L307)</f>
        <v>0</v>
      </c>
      <c r="M313" s="81">
        <f>SUM(M251:M307)</f>
        <v>0</v>
      </c>
      <c r="N313" s="80"/>
      <c r="O313" s="78" t="s">
        <v>72</v>
      </c>
      <c r="P313" s="81">
        <f>SUM(P251:P307)</f>
        <v>0</v>
      </c>
      <c r="Q313" s="77"/>
      <c r="R313" s="183"/>
      <c r="S313" s="82"/>
      <c r="T313" s="83" t="s">
        <v>73</v>
      </c>
      <c r="U313" s="83" t="s">
        <v>74</v>
      </c>
      <c r="V313" s="83" t="s">
        <v>75</v>
      </c>
      <c r="W313" s="83" t="s">
        <v>76</v>
      </c>
      <c r="X313" s="83" t="s">
        <v>77</v>
      </c>
      <c r="Y313" s="84" t="s">
        <v>72</v>
      </c>
      <c r="Z313" s="82"/>
      <c r="AA313" s="83" t="s">
        <v>73</v>
      </c>
      <c r="AB313" s="83" t="s">
        <v>74</v>
      </c>
      <c r="AC313" s="83" t="s">
        <v>75</v>
      </c>
      <c r="AD313" s="83" t="s">
        <v>76</v>
      </c>
      <c r="AE313" s="83" t="s">
        <v>77</v>
      </c>
      <c r="AF313" s="84" t="s">
        <v>72</v>
      </c>
    </row>
    <row r="314" spans="1:32" x14ac:dyDescent="0.25">
      <c r="C314" s="107"/>
      <c r="S314" s="91" t="s">
        <v>38</v>
      </c>
      <c r="T314" s="83" t="s">
        <v>41</v>
      </c>
      <c r="U314" s="83" t="s">
        <v>41</v>
      </c>
      <c r="V314" s="83" t="s">
        <v>41</v>
      </c>
      <c r="W314" s="83" t="s">
        <v>41</v>
      </c>
      <c r="X314" s="83" t="s">
        <v>41</v>
      </c>
      <c r="Y314" s="84" t="s">
        <v>41</v>
      </c>
      <c r="Z314" s="91"/>
      <c r="AA314" s="83" t="s">
        <v>41</v>
      </c>
      <c r="AB314" s="83" t="s">
        <v>41</v>
      </c>
      <c r="AC314" s="83" t="s">
        <v>41</v>
      </c>
      <c r="AD314" s="83" t="s">
        <v>41</v>
      </c>
      <c r="AE314" s="83" t="s">
        <v>41</v>
      </c>
      <c r="AF314" s="84" t="s">
        <v>41</v>
      </c>
    </row>
    <row r="315" spans="1:32" s="1" customFormat="1" ht="11.25" x14ac:dyDescent="0.2">
      <c r="A315" s="85" t="s">
        <v>252</v>
      </c>
      <c r="B315" s="86"/>
      <c r="C315" s="86"/>
      <c r="D315" s="87"/>
      <c r="E315" s="87"/>
      <c r="F315" s="81">
        <f>SUM(F251:F312)</f>
        <v>27.270000000000003</v>
      </c>
      <c r="G315" s="88"/>
      <c r="H315" s="89"/>
      <c r="I315" s="27"/>
      <c r="J315" s="90"/>
      <c r="Q315" s="80"/>
      <c r="S315" s="100" t="s">
        <v>1</v>
      </c>
      <c r="T315" s="101">
        <f>SUMIFS(F239:F312,C239:C312,"A",H239:H312,"melnais")</f>
        <v>0</v>
      </c>
      <c r="U315" s="101">
        <f>SUMIFS(F239:F312,C239:C312,"A",H239:H312,"dubultā virsma")</f>
        <v>0</v>
      </c>
      <c r="V315" s="101">
        <f>SUMIFS(F239:F312,C239:C312,"A",H239:H312,"bruģis")</f>
        <v>0</v>
      </c>
      <c r="W315" s="101">
        <f>SUMIFS(F239:F312,C239:C312,"A",H239:H312,"grants")</f>
        <v>0</v>
      </c>
      <c r="X315" s="101">
        <f>SUMIFS(F239:F312,C239:C312,"A",H239:H312,"cits segums")</f>
        <v>0</v>
      </c>
      <c r="Y315" s="101">
        <f>SUM(T315:X315)</f>
        <v>0</v>
      </c>
      <c r="Z315" s="100" t="s">
        <v>1</v>
      </c>
      <c r="AA315" s="102">
        <f>SUMIFS(F239:F312,C239:C312,"A",H239:H312,"melnais", Q239:Q312,"Nepiederošs")</f>
        <v>0</v>
      </c>
      <c r="AB315" s="102">
        <f>SUMIFS(F239:F312,C239:C312,"A",H239:H312,"dubultā virsma", Q239:Q312,"Nepiederošs")</f>
        <v>0</v>
      </c>
      <c r="AC315" s="102">
        <f>SUMIFS(F239:F312,C239:C312,"A",H239:H312,"bruģis", Q239:Q312,"Nepiederošs")</f>
        <v>0</v>
      </c>
      <c r="AD315" s="102">
        <f>SUMIFS(F239:F312,C239:C312,"A",H239:H312,"grants", Q239:Q312,"Nepiederošs")</f>
        <v>0</v>
      </c>
      <c r="AE315" s="102">
        <f>SUMIFS(F239:F312,C239:C312,"A",H239:H312,"cits segums", Q239:Q312,"Nepiederošs")</f>
        <v>0</v>
      </c>
      <c r="AF315" s="102">
        <f>SUM(AA315:AE315)</f>
        <v>0</v>
      </c>
    </row>
    <row r="316" spans="1:32" s="1" customFormat="1" ht="11.25" x14ac:dyDescent="0.2">
      <c r="A316" s="92" t="s">
        <v>79</v>
      </c>
      <c r="B316" s="93"/>
      <c r="C316" s="93"/>
      <c r="D316" s="94"/>
      <c r="E316" s="94"/>
      <c r="F316" s="169">
        <f>SUMIFS(F251:F312,H251:H312,"melnais")</f>
        <v>3.4200000000000004</v>
      </c>
      <c r="G316" s="168"/>
      <c r="H316" s="97"/>
      <c r="I316" s="98"/>
      <c r="J316" s="80"/>
      <c r="K316" s="80"/>
      <c r="L316" s="99"/>
      <c r="M316" s="99"/>
      <c r="N316" s="80"/>
      <c r="O316" s="80"/>
      <c r="P316" s="80"/>
      <c r="Q316" s="80"/>
      <c r="S316" s="104" t="s">
        <v>2</v>
      </c>
      <c r="T316" s="101">
        <f>SUMIFS(F239:F312,C239:C312,"B",H239:H312,"melnais")</f>
        <v>0</v>
      </c>
      <c r="U316" s="101">
        <f>SUMIFS(F239:F312,C239:C312,"B",H239:H312,"dubultā virsma")</f>
        <v>0</v>
      </c>
      <c r="V316" s="101">
        <f>SUMIFS(F239:F312,C239:C312,"B",H239:H312,"bruģis")</f>
        <v>0</v>
      </c>
      <c r="W316" s="101">
        <f>SUMIFS(F239:F312,C239:C312,"B",H239:H312,"grants")</f>
        <v>0</v>
      </c>
      <c r="X316" s="101">
        <f>SUMIFS(F239:F312,C239:C312,"B",H239:H312,"cits segums")</f>
        <v>0</v>
      </c>
      <c r="Y316" s="101">
        <f t="shared" ref="Y316:Y318" si="22">SUM(T316:X316)</f>
        <v>0</v>
      </c>
      <c r="Z316" s="104" t="s">
        <v>2</v>
      </c>
      <c r="AA316" s="102">
        <f>SUMIFS(F239:F312,C239:C312,"B",H239:H312,"melnais", Q239:Q312,"Nepiederošs")</f>
        <v>0</v>
      </c>
      <c r="AB316" s="102">
        <f>SUMIFS(F239:F312,C239:C312,"B",H239:H312,"dubultā virsma", Q239:Q312,"Nepiederošs")</f>
        <v>0</v>
      </c>
      <c r="AC316" s="102">
        <f>SUMIFS(F239:F312,C239:C312,"B",H239:H312,"bruģis", Q239:Q312,"Nepiederošs")</f>
        <v>0</v>
      </c>
      <c r="AD316" s="102">
        <f>SUMIFS(F239:F312,C239:C312,"B",H239:H312,"grants", Q239:Q312,"Nepiederošs")</f>
        <v>0</v>
      </c>
      <c r="AE316" s="102">
        <f>SUMIFS(F239:F312,C239:C312,"B",H239:H312,"cits segums", Q239:Q312,"Nepiederošs")</f>
        <v>0</v>
      </c>
      <c r="AF316" s="102">
        <f t="shared" ref="AF316:AF318" si="23">SUM(AA316:AE316)</f>
        <v>0</v>
      </c>
    </row>
    <row r="317" spans="1:32" s="1" customFormat="1" ht="11.25" x14ac:dyDescent="0.2">
      <c r="A317" s="92" t="s">
        <v>80</v>
      </c>
      <c r="B317" s="93"/>
      <c r="C317" s="93"/>
      <c r="D317" s="94"/>
      <c r="E317" s="94"/>
      <c r="F317" s="169">
        <f>SUMIFS(F251:F313,H251:H313,"bruģis")</f>
        <v>0</v>
      </c>
      <c r="G317" s="168"/>
      <c r="H317" s="27"/>
      <c r="I317" s="27"/>
      <c r="J317" s="80"/>
      <c r="K317" s="103"/>
      <c r="L317" s="103"/>
      <c r="M317" s="103"/>
      <c r="N317" s="80"/>
      <c r="O317" s="80"/>
      <c r="P317" s="80"/>
      <c r="Q317" s="80"/>
      <c r="S317" s="105" t="s">
        <v>3</v>
      </c>
      <c r="T317" s="101">
        <f>SUMIFS(F239:F312,C239:C312,"C",H239:H312,"melnais")</f>
        <v>0</v>
      </c>
      <c r="U317" s="101">
        <f>SUMIFS(F239:F312,C239:C312,"C",H239:H312,"dubultā virsma")</f>
        <v>0</v>
      </c>
      <c r="V317" s="101">
        <f>SUMIFS(F239:F312,C239:C312,"C",H239:H312,"bruģis")</f>
        <v>0</v>
      </c>
      <c r="W317" s="101">
        <f>SUMIFS(F251:F312,C251:C312,"C",H251:H312,"grants")</f>
        <v>6.3400000000000007</v>
      </c>
      <c r="X317" s="101">
        <f>SUMIFS(F239:F312,C239:C312,"C",H239:H312,"cits segums")</f>
        <v>0.19</v>
      </c>
      <c r="Y317" s="101">
        <f>SUM(T317:X317)</f>
        <v>6.5300000000000011</v>
      </c>
      <c r="Z317" s="105" t="s">
        <v>3</v>
      </c>
      <c r="AA317" s="102">
        <f>SUMIFS(F239:F312,C239:C312,"C",H239:H312,"melnais", Q239:Q312,"Nepiederošs")</f>
        <v>0</v>
      </c>
      <c r="AB317" s="102">
        <f>SUMIFS(F239:F312,C239:C312,"C",H239:H312,"dubultā virsma", Q239:Q312,"Nepiederošs")</f>
        <v>0</v>
      </c>
      <c r="AC317" s="102">
        <f>SUMIFS(F239:F312,C239:C312,"C",H239:H312,"bruģis", Q239:Q312,"Nepiederošs")</f>
        <v>0</v>
      </c>
      <c r="AD317" s="102">
        <f>SUMIFS(F251:F312,C251:C312,"C",H251:H312,"grants", Q251:Q312,"Nepiederošs")</f>
        <v>0.64000000000000012</v>
      </c>
      <c r="AE317" s="102">
        <f>SUMIFS(F239:F312,C239:C312,"C",H239:H312,"cits segums", Q239:Q312,"Nepiederošs")</f>
        <v>0</v>
      </c>
      <c r="AF317" s="102">
        <f t="shared" si="23"/>
        <v>0.64000000000000012</v>
      </c>
    </row>
    <row r="318" spans="1:32" s="1" customFormat="1" ht="11.25" x14ac:dyDescent="0.2">
      <c r="A318" s="92" t="s">
        <v>81</v>
      </c>
      <c r="B318" s="93"/>
      <c r="C318" s="93"/>
      <c r="D318" s="94"/>
      <c r="E318" s="94"/>
      <c r="F318" s="169">
        <f>SUMIFS(F251:F312,H251:H312,"grants")</f>
        <v>17.55</v>
      </c>
      <c r="G318" s="168"/>
      <c r="H318" s="27"/>
      <c r="I318" s="27"/>
      <c r="J318" s="80"/>
      <c r="K318" s="103"/>
      <c r="L318" s="103"/>
      <c r="M318" s="103"/>
      <c r="N318" s="80"/>
      <c r="O318" s="80"/>
      <c r="P318" s="80"/>
      <c r="Q318" s="80"/>
      <c r="S318" s="100" t="s">
        <v>4</v>
      </c>
      <c r="T318" s="101">
        <f>SUMIFS(F239:F312,C239:C312,"D",H239:H312,"melnais")</f>
        <v>3.4200000000000004</v>
      </c>
      <c r="U318" s="101">
        <f>SUMIFS(F239:F312,C239:C312,"D",H239:H312,"dubultā virsma")</f>
        <v>0</v>
      </c>
      <c r="V318" s="101">
        <f>SUMIFS(F239:F312,C239:C312,"D",H239:H312,"bruģis")</f>
        <v>0</v>
      </c>
      <c r="W318" s="101">
        <f>SUMIFS(F251:F312,C251:C312,"D",H251:H312,"grants")</f>
        <v>11.210000000000006</v>
      </c>
      <c r="X318" s="101">
        <f>SUMIFS(F239:F312,C239:C312,"D",H239:H312,"cits segums")</f>
        <v>6.11</v>
      </c>
      <c r="Y318" s="101">
        <f t="shared" si="22"/>
        <v>20.740000000000006</v>
      </c>
      <c r="Z318" s="100" t="s">
        <v>4</v>
      </c>
      <c r="AA318" s="102">
        <f>SUMIFS(F239:F312,C239:C312,"D",H239:H312,"melnais", Q239:Q312,"Nepiederošs")</f>
        <v>0.18</v>
      </c>
      <c r="AB318" s="102">
        <f>SUMIFS(F239:F312,C239:C312,"D",H239:H312,"dubultā virsma", Q239:Q312,"Nepiederošs")</f>
        <v>0</v>
      </c>
      <c r="AC318" s="102">
        <f>SUMIFS(F239:F312,C239:C312,"D",H239:H312,"bruģis", Q239:Q312,"Nepiederošs")</f>
        <v>0</v>
      </c>
      <c r="AD318" s="102">
        <f>SUMIFS(F251:F312,C251:C312,"D",H251:H312,"grants", Q251:Q312,"Nepiederošs")</f>
        <v>1.77</v>
      </c>
      <c r="AE318" s="102">
        <f>SUMIFS(F239:F312,C239:C312,"D",H239:H312,"cits segums", Q239:Q312,"Nepiederošs")</f>
        <v>0.5</v>
      </c>
      <c r="AF318" s="102">
        <f t="shared" si="23"/>
        <v>2.4500000000000002</v>
      </c>
    </row>
    <row r="319" spans="1:32" s="1" customFormat="1" x14ac:dyDescent="0.25">
      <c r="A319" s="92" t="s">
        <v>82</v>
      </c>
      <c r="B319" s="93"/>
      <c r="C319" s="93"/>
      <c r="D319" s="94"/>
      <c r="E319" s="94"/>
      <c r="F319" s="169">
        <f>SUMIFS(F251:F312,H251:H312,"cits segums")</f>
        <v>6.3</v>
      </c>
      <c r="G319" s="168"/>
      <c r="H319" s="98"/>
      <c r="I319" s="27"/>
      <c r="J319" s="106"/>
      <c r="K319" s="103"/>
      <c r="L319" s="103"/>
      <c r="M319" s="103"/>
      <c r="N319" s="80"/>
      <c r="O319" s="80"/>
      <c r="P319" s="80"/>
      <c r="Q319" s="80"/>
      <c r="S319"/>
      <c r="T319" s="108">
        <f>SUM(T315:T318)</f>
        <v>3.4200000000000004</v>
      </c>
      <c r="U319" s="108">
        <f t="shared" ref="U319:Y319" si="24">SUM(U315:U318)</f>
        <v>0</v>
      </c>
      <c r="V319" s="108">
        <f t="shared" si="24"/>
        <v>0</v>
      </c>
      <c r="W319" s="108">
        <f t="shared" si="24"/>
        <v>17.550000000000008</v>
      </c>
      <c r="X319" s="108">
        <f t="shared" si="24"/>
        <v>6.3000000000000007</v>
      </c>
      <c r="Y319" s="108">
        <f t="shared" si="24"/>
        <v>27.270000000000007</v>
      </c>
      <c r="Z319"/>
      <c r="AA319" s="109">
        <f>SUM(AA315:AA318)</f>
        <v>0.18</v>
      </c>
      <c r="AB319" s="109">
        <f t="shared" ref="AB319" si="25">SUM(AB315:AB318)</f>
        <v>0</v>
      </c>
      <c r="AC319" s="109">
        <f>SUM(AC315:AC318)</f>
        <v>0</v>
      </c>
      <c r="AD319" s="109">
        <f t="shared" ref="AD319:AF319" si="26">SUM(AD315:AD318)</f>
        <v>2.41</v>
      </c>
      <c r="AE319" s="109">
        <f t="shared" si="26"/>
        <v>0.5</v>
      </c>
      <c r="AF319" s="109">
        <f t="shared" si="26"/>
        <v>3.0900000000000003</v>
      </c>
    </row>
    <row r="320" spans="1:32" x14ac:dyDescent="0.25">
      <c r="C320" s="107"/>
      <c r="Z320" s="184"/>
    </row>
    <row r="321" spans="1:26" s="6" customFormat="1" ht="15" customHeight="1" x14ac:dyDescent="0.25">
      <c r="A321" s="16"/>
      <c r="B321" s="16"/>
      <c r="C321" s="16"/>
      <c r="D321" s="17" t="s">
        <v>253</v>
      </c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8"/>
      <c r="R321" s="19"/>
      <c r="T321" s="110"/>
      <c r="W321" s="110"/>
      <c r="X321" s="110"/>
      <c r="Z321" s="110"/>
    </row>
    <row r="322" spans="1:26" s="6" customFormat="1" ht="11.25" x14ac:dyDescent="0.25">
      <c r="A322" s="16"/>
      <c r="B322" s="16"/>
      <c r="C322" s="16"/>
      <c r="D322" s="25"/>
      <c r="E322" s="25"/>
      <c r="F322" s="25"/>
      <c r="G322" s="25"/>
      <c r="H322" s="18"/>
      <c r="I322" s="16"/>
      <c r="J322" s="16"/>
      <c r="K322" s="16"/>
      <c r="L322" s="16"/>
      <c r="M322" s="16"/>
      <c r="N322" s="26"/>
      <c r="O322" s="26"/>
      <c r="P322" s="16"/>
      <c r="Q322" s="16"/>
      <c r="R322" s="19"/>
    </row>
    <row r="323" spans="1:26" s="27" customFormat="1" ht="5.25" customHeight="1" x14ac:dyDescent="0.2">
      <c r="C323" s="26"/>
    </row>
    <row r="324" spans="1:26" s="27" customFormat="1" ht="12.75" customHeight="1" x14ac:dyDescent="0.2">
      <c r="A324" s="28" t="s">
        <v>19</v>
      </c>
      <c r="B324" s="29" t="s">
        <v>20</v>
      </c>
      <c r="C324" s="30"/>
      <c r="D324" s="31" t="s">
        <v>21</v>
      </c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3"/>
      <c r="Q324" s="34" t="s">
        <v>22</v>
      </c>
      <c r="R324" s="35"/>
    </row>
    <row r="325" spans="1:26" s="27" customFormat="1" ht="12.75" customHeight="1" x14ac:dyDescent="0.2">
      <c r="A325" s="28"/>
      <c r="B325" s="36"/>
      <c r="C325" s="37"/>
      <c r="D325" s="38" t="s">
        <v>23</v>
      </c>
      <c r="E325" s="38"/>
      <c r="F325" s="38"/>
      <c r="G325" s="38"/>
      <c r="H325" s="38"/>
      <c r="I325" s="39" t="s">
        <v>24</v>
      </c>
      <c r="J325" s="39"/>
      <c r="K325" s="39"/>
      <c r="L325" s="39"/>
      <c r="M325" s="39"/>
      <c r="N325" s="39"/>
      <c r="O325" s="39"/>
      <c r="P325" s="40" t="s">
        <v>25</v>
      </c>
      <c r="Q325" s="41"/>
      <c r="R325" s="42"/>
    </row>
    <row r="326" spans="1:26" s="27" customFormat="1" ht="15.2" customHeight="1" x14ac:dyDescent="0.2">
      <c r="A326" s="28"/>
      <c r="B326" s="36"/>
      <c r="C326" s="37"/>
      <c r="D326" s="38" t="s">
        <v>26</v>
      </c>
      <c r="E326" s="38"/>
      <c r="F326" s="28" t="s">
        <v>27</v>
      </c>
      <c r="G326" s="28" t="s">
        <v>28</v>
      </c>
      <c r="H326" s="28" t="s">
        <v>29</v>
      </c>
      <c r="I326" s="39" t="s">
        <v>30</v>
      </c>
      <c r="J326" s="39" t="s">
        <v>31</v>
      </c>
      <c r="K326" s="39"/>
      <c r="L326" s="43" t="s">
        <v>32</v>
      </c>
      <c r="M326" s="43" t="s">
        <v>33</v>
      </c>
      <c r="N326" s="43" t="s">
        <v>34</v>
      </c>
      <c r="O326" s="43" t="s">
        <v>35</v>
      </c>
      <c r="P326" s="44"/>
      <c r="Q326" s="44" t="s">
        <v>36</v>
      </c>
      <c r="R326" s="36" t="s">
        <v>37</v>
      </c>
    </row>
    <row r="327" spans="1:26" s="27" customFormat="1" ht="59.25" customHeight="1" x14ac:dyDescent="0.2">
      <c r="A327" s="28"/>
      <c r="B327" s="45"/>
      <c r="C327" s="46" t="s">
        <v>38</v>
      </c>
      <c r="D327" s="47" t="s">
        <v>39</v>
      </c>
      <c r="E327" s="47" t="s">
        <v>40</v>
      </c>
      <c r="F327" s="28"/>
      <c r="G327" s="28"/>
      <c r="H327" s="28"/>
      <c r="I327" s="39"/>
      <c r="J327" s="48" t="s">
        <v>41</v>
      </c>
      <c r="K327" s="48" t="s">
        <v>42</v>
      </c>
      <c r="L327" s="43"/>
      <c r="M327" s="43"/>
      <c r="N327" s="43"/>
      <c r="O327" s="43"/>
      <c r="P327" s="49"/>
      <c r="Q327" s="49"/>
      <c r="R327" s="45"/>
    </row>
    <row r="328" spans="1:26" s="111" customFormat="1" ht="12" customHeight="1" x14ac:dyDescent="0.25">
      <c r="A328" s="126">
        <v>1</v>
      </c>
      <c r="B328" s="126">
        <v>2</v>
      </c>
      <c r="C328" s="126"/>
      <c r="D328" s="126">
        <v>3</v>
      </c>
      <c r="E328" s="126">
        <v>4</v>
      </c>
      <c r="F328" s="126">
        <v>5</v>
      </c>
      <c r="G328" s="50">
        <v>5.0999999999999996</v>
      </c>
      <c r="H328" s="126">
        <v>6</v>
      </c>
      <c r="I328" s="161">
        <v>7</v>
      </c>
      <c r="J328" s="161">
        <v>8</v>
      </c>
      <c r="K328" s="161">
        <v>9</v>
      </c>
      <c r="L328" s="161">
        <v>10</v>
      </c>
      <c r="M328" s="161">
        <v>11</v>
      </c>
      <c r="N328" s="161">
        <v>12</v>
      </c>
      <c r="O328" s="161">
        <v>13</v>
      </c>
      <c r="P328" s="161">
        <v>14</v>
      </c>
      <c r="Q328" s="161">
        <v>15</v>
      </c>
      <c r="R328" s="126">
        <v>16</v>
      </c>
    </row>
    <row r="329" spans="1:26" ht="23.25" x14ac:dyDescent="0.25">
      <c r="A329" s="54">
        <v>1</v>
      </c>
      <c r="B329" s="185" t="s">
        <v>254</v>
      </c>
      <c r="C329" s="186" t="s">
        <v>4</v>
      </c>
      <c r="D329" s="187">
        <v>0</v>
      </c>
      <c r="E329" s="188">
        <v>1.22</v>
      </c>
      <c r="F329" s="188">
        <v>1.2</v>
      </c>
      <c r="G329" s="188">
        <v>3.5</v>
      </c>
      <c r="H329" s="189" t="s">
        <v>44</v>
      </c>
      <c r="I329" s="190" t="s">
        <v>255</v>
      </c>
      <c r="J329" s="190">
        <v>3.2000000000000001E-2</v>
      </c>
      <c r="K329" s="191" t="s">
        <v>256</v>
      </c>
      <c r="L329" s="190">
        <v>18</v>
      </c>
      <c r="M329" s="190">
        <v>126</v>
      </c>
      <c r="N329" s="190"/>
      <c r="O329" s="190" t="s">
        <v>257</v>
      </c>
      <c r="P329" s="190"/>
      <c r="Q329" s="190">
        <v>80680070499</v>
      </c>
      <c r="R329" s="190">
        <v>80680070472</v>
      </c>
    </row>
    <row r="330" spans="1:26" x14ac:dyDescent="0.25">
      <c r="A330" s="115"/>
      <c r="B330" s="192"/>
      <c r="C330" s="186" t="s">
        <v>4</v>
      </c>
      <c r="D330" s="187">
        <v>1.22</v>
      </c>
      <c r="E330" s="188">
        <v>1.85</v>
      </c>
      <c r="F330" s="188">
        <v>0.63</v>
      </c>
      <c r="G330" s="188">
        <v>3.5</v>
      </c>
      <c r="H330" s="189" t="s">
        <v>44</v>
      </c>
      <c r="I330" s="189"/>
      <c r="J330" s="189"/>
      <c r="K330" s="191"/>
      <c r="L330" s="189"/>
      <c r="M330" s="189"/>
      <c r="N330" s="189"/>
      <c r="O330" s="189"/>
      <c r="P330" s="189"/>
      <c r="Q330" s="190">
        <v>80680070074</v>
      </c>
      <c r="R330" s="190">
        <v>80680070424</v>
      </c>
    </row>
    <row r="331" spans="1:26" x14ac:dyDescent="0.25">
      <c r="A331" s="115"/>
      <c r="B331" s="192"/>
      <c r="C331" s="186" t="s">
        <v>4</v>
      </c>
      <c r="D331" s="187">
        <v>1.85</v>
      </c>
      <c r="E331" s="188">
        <v>2.95</v>
      </c>
      <c r="F331" s="188">
        <v>1.1000000000000001</v>
      </c>
      <c r="G331" s="188">
        <v>3.8</v>
      </c>
      <c r="H331" s="189" t="s">
        <v>44</v>
      </c>
      <c r="I331" s="189"/>
      <c r="J331" s="189"/>
      <c r="K331" s="189"/>
      <c r="L331" s="189"/>
      <c r="M331" s="189"/>
      <c r="N331" s="189"/>
      <c r="O331" s="189"/>
      <c r="P331" s="189"/>
      <c r="Q331" s="190">
        <v>80680070499</v>
      </c>
      <c r="R331" s="190">
        <v>80680070499</v>
      </c>
    </row>
    <row r="332" spans="1:26" ht="23.25" x14ac:dyDescent="0.25">
      <c r="A332" s="54">
        <v>2</v>
      </c>
      <c r="B332" s="185" t="s">
        <v>258</v>
      </c>
      <c r="C332" s="186" t="s">
        <v>4</v>
      </c>
      <c r="D332" s="187">
        <v>0</v>
      </c>
      <c r="E332" s="188">
        <v>1.7</v>
      </c>
      <c r="F332" s="188">
        <v>1.7</v>
      </c>
      <c r="G332" s="188">
        <v>4</v>
      </c>
      <c r="H332" s="189" t="s">
        <v>44</v>
      </c>
      <c r="I332" s="189"/>
      <c r="J332" s="189"/>
      <c r="K332" s="189"/>
      <c r="L332" s="189"/>
      <c r="M332" s="189"/>
      <c r="N332" s="189"/>
      <c r="O332" s="189"/>
      <c r="P332" s="189"/>
      <c r="Q332" s="190"/>
      <c r="R332" s="193">
        <v>80680070592001</v>
      </c>
    </row>
    <row r="333" spans="1:26" x14ac:dyDescent="0.25">
      <c r="A333" s="115"/>
      <c r="B333" s="192"/>
      <c r="C333" s="186" t="s">
        <v>4</v>
      </c>
      <c r="D333" s="187">
        <v>1.7</v>
      </c>
      <c r="E333" s="188">
        <v>3.24</v>
      </c>
      <c r="F333" s="188">
        <v>1.54</v>
      </c>
      <c r="G333" s="188">
        <v>3.5</v>
      </c>
      <c r="H333" s="189" t="s">
        <v>44</v>
      </c>
      <c r="I333" s="189"/>
      <c r="J333" s="189"/>
      <c r="K333" s="189"/>
      <c r="L333" s="189"/>
      <c r="M333" s="189"/>
      <c r="N333" s="189"/>
      <c r="O333" s="189"/>
      <c r="P333" s="189"/>
      <c r="Q333" s="190">
        <v>80680070536</v>
      </c>
      <c r="R333" s="190">
        <v>80680070544</v>
      </c>
    </row>
    <row r="334" spans="1:26" x14ac:dyDescent="0.25">
      <c r="A334" s="115"/>
      <c r="B334" s="192"/>
      <c r="C334" s="186" t="s">
        <v>3</v>
      </c>
      <c r="D334" s="187">
        <v>3.24</v>
      </c>
      <c r="E334" s="188">
        <v>4.32</v>
      </c>
      <c r="F334" s="188">
        <v>1.08</v>
      </c>
      <c r="G334" s="188">
        <v>4.3</v>
      </c>
      <c r="H334" s="189" t="s">
        <v>44</v>
      </c>
      <c r="I334" s="189"/>
      <c r="J334" s="189"/>
      <c r="K334" s="189"/>
      <c r="L334" s="189"/>
      <c r="M334" s="189"/>
      <c r="N334" s="189"/>
      <c r="O334" s="189"/>
      <c r="P334" s="189"/>
      <c r="Q334" s="190">
        <v>80680070536</v>
      </c>
      <c r="R334" s="190">
        <v>80680070572</v>
      </c>
    </row>
    <row r="335" spans="1:26" x14ac:dyDescent="0.25">
      <c r="A335" s="115"/>
      <c r="B335" s="192"/>
      <c r="C335" s="186" t="s">
        <v>3</v>
      </c>
      <c r="D335" s="187">
        <v>4.32</v>
      </c>
      <c r="E335" s="188">
        <v>5.76</v>
      </c>
      <c r="F335" s="188">
        <v>1.44</v>
      </c>
      <c r="G335" s="188">
        <v>4.3</v>
      </c>
      <c r="H335" s="189" t="s">
        <v>44</v>
      </c>
      <c r="I335" s="189"/>
      <c r="J335" s="189"/>
      <c r="K335" s="189"/>
      <c r="L335" s="189"/>
      <c r="M335" s="189"/>
      <c r="N335" s="189"/>
      <c r="O335" s="189"/>
      <c r="P335" s="189"/>
      <c r="Q335" s="190">
        <v>80680070536</v>
      </c>
      <c r="R335" s="190">
        <v>80680070536</v>
      </c>
    </row>
    <row r="336" spans="1:26" ht="23.25" x14ac:dyDescent="0.25">
      <c r="A336" s="54">
        <v>3</v>
      </c>
      <c r="B336" s="185" t="s">
        <v>259</v>
      </c>
      <c r="C336" s="186" t="s">
        <v>4</v>
      </c>
      <c r="D336" s="187">
        <v>0</v>
      </c>
      <c r="E336" s="188">
        <v>0.13</v>
      </c>
      <c r="F336" s="188">
        <v>0.13</v>
      </c>
      <c r="G336" s="188">
        <v>3.5</v>
      </c>
      <c r="H336" s="189" t="s">
        <v>44</v>
      </c>
      <c r="I336" s="189"/>
      <c r="J336" s="189"/>
      <c r="K336" s="189"/>
      <c r="L336" s="189"/>
      <c r="M336" s="189"/>
      <c r="N336" s="189"/>
      <c r="O336" s="189"/>
      <c r="P336" s="189"/>
      <c r="Q336" s="190">
        <v>80680070547</v>
      </c>
      <c r="R336" s="190">
        <v>80680070547</v>
      </c>
    </row>
    <row r="337" spans="1:18" x14ac:dyDescent="0.25">
      <c r="A337" s="115"/>
      <c r="B337" s="192"/>
      <c r="C337" s="186" t="s">
        <v>4</v>
      </c>
      <c r="D337" s="187">
        <v>0.13</v>
      </c>
      <c r="E337" s="188">
        <v>0.25</v>
      </c>
      <c r="F337" s="188">
        <v>0.12</v>
      </c>
      <c r="G337" s="188">
        <v>3</v>
      </c>
      <c r="H337" s="189" t="s">
        <v>46</v>
      </c>
      <c r="I337" s="189"/>
      <c r="J337" s="189"/>
      <c r="K337" s="189"/>
      <c r="L337" s="189"/>
      <c r="M337" s="189"/>
      <c r="N337" s="189"/>
      <c r="O337" s="189"/>
      <c r="P337" s="189"/>
      <c r="Q337" s="190">
        <v>80680070547</v>
      </c>
      <c r="R337" s="190">
        <v>80680070547</v>
      </c>
    </row>
    <row r="338" spans="1:18" x14ac:dyDescent="0.25">
      <c r="A338" s="115"/>
      <c r="B338" s="192"/>
      <c r="C338" s="186" t="s">
        <v>4</v>
      </c>
      <c r="D338" s="187">
        <v>0.25</v>
      </c>
      <c r="E338" s="188">
        <v>0.72</v>
      </c>
      <c r="F338" s="188">
        <v>0.47</v>
      </c>
      <c r="G338" s="188">
        <v>3.5</v>
      </c>
      <c r="H338" s="189" t="s">
        <v>44</v>
      </c>
      <c r="I338" s="189"/>
      <c r="J338" s="189"/>
      <c r="K338" s="189"/>
      <c r="L338" s="189"/>
      <c r="M338" s="189"/>
      <c r="N338" s="189"/>
      <c r="O338" s="189"/>
      <c r="P338" s="189"/>
      <c r="Q338" s="190">
        <v>80680070547</v>
      </c>
      <c r="R338" s="190">
        <v>80680070547</v>
      </c>
    </row>
    <row r="339" spans="1:18" ht="23.25" x14ac:dyDescent="0.25">
      <c r="A339" s="54">
        <v>4</v>
      </c>
      <c r="B339" s="185" t="s">
        <v>260</v>
      </c>
      <c r="C339" s="186" t="s">
        <v>4</v>
      </c>
      <c r="D339" s="187">
        <v>0</v>
      </c>
      <c r="E339" s="188">
        <v>0.99</v>
      </c>
      <c r="F339" s="188">
        <v>0.99</v>
      </c>
      <c r="G339" s="188">
        <v>4</v>
      </c>
      <c r="H339" s="189" t="s">
        <v>59</v>
      </c>
      <c r="I339" s="189"/>
      <c r="J339" s="189"/>
      <c r="K339" s="189"/>
      <c r="L339" s="189"/>
      <c r="M339" s="189"/>
      <c r="N339" s="189"/>
      <c r="O339" s="189"/>
      <c r="P339" s="189"/>
      <c r="Q339" s="190">
        <v>80680020254</v>
      </c>
      <c r="R339" s="190">
        <v>80680020254</v>
      </c>
    </row>
    <row r="340" spans="1:18" x14ac:dyDescent="0.25">
      <c r="A340" s="115"/>
      <c r="B340" s="192"/>
      <c r="C340" s="186" t="s">
        <v>4</v>
      </c>
      <c r="D340" s="187">
        <v>0.99</v>
      </c>
      <c r="E340" s="188">
        <v>1.1399999999999999</v>
      </c>
      <c r="F340" s="188">
        <v>0.15</v>
      </c>
      <c r="G340" s="188">
        <v>3</v>
      </c>
      <c r="H340" s="189" t="s">
        <v>44</v>
      </c>
      <c r="I340" s="189"/>
      <c r="J340" s="189"/>
      <c r="K340" s="189"/>
      <c r="L340" s="189"/>
      <c r="M340" s="189"/>
      <c r="N340" s="189"/>
      <c r="O340" s="189"/>
      <c r="P340" s="189"/>
      <c r="Q340" s="190">
        <v>80680020254</v>
      </c>
      <c r="R340" s="190">
        <v>80680020254</v>
      </c>
    </row>
    <row r="341" spans="1:18" ht="23.25" x14ac:dyDescent="0.25">
      <c r="A341" s="54">
        <v>5</v>
      </c>
      <c r="B341" s="185" t="s">
        <v>261</v>
      </c>
      <c r="C341" s="186" t="s">
        <v>3</v>
      </c>
      <c r="D341" s="187">
        <v>0</v>
      </c>
      <c r="E341" s="188">
        <v>2.82</v>
      </c>
      <c r="F341" s="188">
        <v>2.82</v>
      </c>
      <c r="G341" s="188">
        <v>5.5</v>
      </c>
      <c r="H341" s="189" t="s">
        <v>44</v>
      </c>
      <c r="I341" s="189"/>
      <c r="J341" s="189"/>
      <c r="K341" s="189"/>
      <c r="L341" s="189"/>
      <c r="M341" s="189"/>
      <c r="N341" s="189"/>
      <c r="O341" s="189"/>
      <c r="P341" s="189"/>
      <c r="Q341" s="190">
        <v>80680020256</v>
      </c>
      <c r="R341" s="190">
        <v>80680020256</v>
      </c>
    </row>
    <row r="342" spans="1:18" x14ac:dyDescent="0.25">
      <c r="A342" s="115"/>
      <c r="B342" s="192"/>
      <c r="C342" s="186" t="s">
        <v>3</v>
      </c>
      <c r="D342" s="187">
        <v>2.82</v>
      </c>
      <c r="E342" s="188">
        <v>4.34</v>
      </c>
      <c r="F342" s="188">
        <v>1.52</v>
      </c>
      <c r="G342" s="188">
        <v>5</v>
      </c>
      <c r="H342" s="189" t="s">
        <v>44</v>
      </c>
      <c r="I342" s="189"/>
      <c r="J342" s="189"/>
      <c r="K342" s="189"/>
      <c r="L342" s="189"/>
      <c r="M342" s="189"/>
      <c r="N342" s="189"/>
      <c r="O342" s="189"/>
      <c r="P342" s="189"/>
      <c r="Q342" s="190">
        <v>80680020042</v>
      </c>
      <c r="R342" s="190">
        <v>80680020336</v>
      </c>
    </row>
    <row r="343" spans="1:18" x14ac:dyDescent="0.25">
      <c r="A343" s="118"/>
      <c r="B343" s="194"/>
      <c r="C343" s="186" t="s">
        <v>3</v>
      </c>
      <c r="D343" s="187">
        <v>4.34</v>
      </c>
      <c r="E343" s="188">
        <v>5.64</v>
      </c>
      <c r="F343" s="188">
        <v>1.3</v>
      </c>
      <c r="G343" s="188">
        <v>5</v>
      </c>
      <c r="H343" s="189" t="s">
        <v>44</v>
      </c>
      <c r="I343" s="189"/>
      <c r="J343" s="189"/>
      <c r="K343" s="189"/>
      <c r="L343" s="189"/>
      <c r="M343" s="189"/>
      <c r="N343" s="189"/>
      <c r="O343" s="189"/>
      <c r="P343" s="189"/>
      <c r="Q343" s="190">
        <v>80680020256</v>
      </c>
      <c r="R343" s="190">
        <v>80680070548</v>
      </c>
    </row>
    <row r="344" spans="1:18" ht="15" customHeight="1" x14ac:dyDescent="0.25">
      <c r="A344" s="118">
        <v>6</v>
      </c>
      <c r="B344" s="195" t="s">
        <v>262</v>
      </c>
      <c r="C344" s="196" t="s">
        <v>4</v>
      </c>
      <c r="D344" s="188">
        <v>0</v>
      </c>
      <c r="E344" s="188">
        <v>1.64</v>
      </c>
      <c r="F344" s="188">
        <v>1.64</v>
      </c>
      <c r="G344" s="188">
        <v>4</v>
      </c>
      <c r="H344" s="189" t="s">
        <v>44</v>
      </c>
      <c r="I344" s="189"/>
      <c r="J344" s="189"/>
      <c r="K344" s="189"/>
      <c r="L344" s="189"/>
      <c r="M344" s="189"/>
      <c r="N344" s="189"/>
      <c r="O344" s="189"/>
      <c r="P344" s="189"/>
      <c r="Q344" s="190">
        <v>80680020258</v>
      </c>
      <c r="R344" s="190">
        <v>80680020258</v>
      </c>
    </row>
    <row r="345" spans="1:18" x14ac:dyDescent="0.25">
      <c r="A345" s="54">
        <v>7</v>
      </c>
      <c r="B345" s="197" t="s">
        <v>263</v>
      </c>
      <c r="C345" s="198" t="s">
        <v>4</v>
      </c>
      <c r="D345" s="188">
        <v>0</v>
      </c>
      <c r="E345" s="188">
        <v>1.41</v>
      </c>
      <c r="F345" s="188">
        <v>1.41</v>
      </c>
      <c r="G345" s="188">
        <v>3.5</v>
      </c>
      <c r="H345" s="189" t="s">
        <v>44</v>
      </c>
      <c r="I345" s="189"/>
      <c r="J345" s="189"/>
      <c r="K345" s="189"/>
      <c r="L345" s="189"/>
      <c r="M345" s="189"/>
      <c r="N345" s="189"/>
      <c r="O345" s="189"/>
      <c r="P345" s="189"/>
      <c r="Q345" s="190">
        <v>80680020257</v>
      </c>
      <c r="R345" s="190">
        <v>80680020257</v>
      </c>
    </row>
    <row r="346" spans="1:18" x14ac:dyDescent="0.25">
      <c r="A346" s="54">
        <v>8</v>
      </c>
      <c r="B346" s="185" t="s">
        <v>264</v>
      </c>
      <c r="C346" s="186" t="s">
        <v>4</v>
      </c>
      <c r="D346" s="187">
        <v>0</v>
      </c>
      <c r="E346" s="188">
        <v>0.11</v>
      </c>
      <c r="F346" s="188">
        <v>0.11</v>
      </c>
      <c r="G346" s="188">
        <v>4.5</v>
      </c>
      <c r="H346" s="189" t="s">
        <v>59</v>
      </c>
      <c r="I346" s="189"/>
      <c r="J346" s="189"/>
      <c r="K346" s="189"/>
      <c r="L346" s="189"/>
      <c r="M346" s="189"/>
      <c r="N346" s="189"/>
      <c r="O346" s="189"/>
      <c r="P346" s="189"/>
      <c r="Q346" s="193">
        <v>80680040022001</v>
      </c>
      <c r="R346" s="193">
        <v>80680040022001</v>
      </c>
    </row>
    <row r="347" spans="1:18" x14ac:dyDescent="0.25">
      <c r="A347" s="115"/>
      <c r="B347" s="192"/>
      <c r="C347" s="186" t="s">
        <v>4</v>
      </c>
      <c r="D347" s="187">
        <v>0.11</v>
      </c>
      <c r="E347" s="188">
        <v>0.6</v>
      </c>
      <c r="F347" s="188">
        <v>0.49</v>
      </c>
      <c r="G347" s="188">
        <v>4</v>
      </c>
      <c r="H347" s="189" t="s">
        <v>44</v>
      </c>
      <c r="I347" s="189"/>
      <c r="J347" s="189"/>
      <c r="K347" s="189"/>
      <c r="L347" s="189"/>
      <c r="M347" s="189"/>
      <c r="N347" s="189"/>
      <c r="O347" s="189"/>
      <c r="P347" s="189"/>
      <c r="Q347" s="193">
        <v>80680040022002</v>
      </c>
      <c r="R347" s="193">
        <v>80680040022002</v>
      </c>
    </row>
    <row r="348" spans="1:18" ht="23.25" x14ac:dyDescent="0.25">
      <c r="A348" s="54">
        <v>9</v>
      </c>
      <c r="B348" s="185" t="s">
        <v>265</v>
      </c>
      <c r="C348" s="186" t="s">
        <v>4</v>
      </c>
      <c r="D348" s="187">
        <v>0</v>
      </c>
      <c r="E348" s="188">
        <v>0.31</v>
      </c>
      <c r="F348" s="188">
        <v>0.31</v>
      </c>
      <c r="G348" s="188">
        <v>6</v>
      </c>
      <c r="H348" s="189" t="s">
        <v>44</v>
      </c>
      <c r="I348" s="189"/>
      <c r="J348" s="189"/>
      <c r="K348" s="189"/>
      <c r="L348" s="189"/>
      <c r="M348" s="189"/>
      <c r="N348" s="189"/>
      <c r="O348" s="189"/>
      <c r="P348" s="189"/>
      <c r="Q348" s="190">
        <v>80680010152</v>
      </c>
      <c r="R348" s="190">
        <v>80680040068</v>
      </c>
    </row>
    <row r="349" spans="1:18" x14ac:dyDescent="0.25">
      <c r="A349" s="115"/>
      <c r="B349" s="192"/>
      <c r="C349" s="186" t="s">
        <v>4</v>
      </c>
      <c r="D349" s="187">
        <v>0.31</v>
      </c>
      <c r="E349" s="188">
        <v>0.45</v>
      </c>
      <c r="F349" s="188">
        <v>0.14000000000000001</v>
      </c>
      <c r="G349" s="188">
        <v>6</v>
      </c>
      <c r="H349" s="189" t="s">
        <v>59</v>
      </c>
      <c r="I349" s="189"/>
      <c r="J349" s="189"/>
      <c r="K349" s="189"/>
      <c r="L349" s="189"/>
      <c r="M349" s="189"/>
      <c r="N349" s="189"/>
      <c r="O349" s="189"/>
      <c r="P349" s="189"/>
      <c r="Q349" s="190">
        <v>80680010152</v>
      </c>
      <c r="R349" s="190">
        <v>80680040068</v>
      </c>
    </row>
    <row r="350" spans="1:18" x14ac:dyDescent="0.25">
      <c r="A350" s="115"/>
      <c r="B350" s="192"/>
      <c r="C350" s="186" t="s">
        <v>4</v>
      </c>
      <c r="D350" s="187">
        <v>0.45</v>
      </c>
      <c r="E350" s="188">
        <v>2.62</v>
      </c>
      <c r="F350" s="188">
        <v>2.17</v>
      </c>
      <c r="G350" s="188">
        <v>4</v>
      </c>
      <c r="H350" s="189" t="s">
        <v>44</v>
      </c>
      <c r="I350" s="189"/>
      <c r="J350" s="189"/>
      <c r="K350" s="189"/>
      <c r="L350" s="189"/>
      <c r="M350" s="189"/>
      <c r="N350" s="189"/>
      <c r="O350" s="189"/>
      <c r="P350" s="189"/>
      <c r="Q350" s="190">
        <v>80680010152</v>
      </c>
      <c r="R350" s="190">
        <v>80680040068</v>
      </c>
    </row>
    <row r="351" spans="1:18" x14ac:dyDescent="0.25">
      <c r="A351" s="118"/>
      <c r="B351" s="194"/>
      <c r="C351" s="186" t="s">
        <v>4</v>
      </c>
      <c r="D351" s="187">
        <v>2.62</v>
      </c>
      <c r="E351" s="188">
        <v>3.8600000000000003</v>
      </c>
      <c r="F351" s="188">
        <v>1.24</v>
      </c>
      <c r="G351" s="188">
        <v>5</v>
      </c>
      <c r="H351" s="189" t="s">
        <v>44</v>
      </c>
      <c r="I351" s="189"/>
      <c r="J351" s="189"/>
      <c r="K351" s="189"/>
      <c r="L351" s="189"/>
      <c r="M351" s="189"/>
      <c r="N351" s="189"/>
      <c r="O351" s="189"/>
      <c r="P351" s="189"/>
      <c r="Q351" s="190">
        <v>80680010152</v>
      </c>
      <c r="R351" s="190">
        <v>80680010152</v>
      </c>
    </row>
    <row r="352" spans="1:18" ht="23.25" x14ac:dyDescent="0.25">
      <c r="A352" s="115">
        <v>10</v>
      </c>
      <c r="B352" s="199" t="s">
        <v>266</v>
      </c>
      <c r="C352" s="186" t="s">
        <v>4</v>
      </c>
      <c r="D352" s="188">
        <v>0</v>
      </c>
      <c r="E352" s="188">
        <v>1.1000000000000001</v>
      </c>
      <c r="F352" s="188">
        <v>1.1000000000000001</v>
      </c>
      <c r="G352" s="188">
        <v>3</v>
      </c>
      <c r="H352" s="189" t="s">
        <v>44</v>
      </c>
      <c r="I352" s="189"/>
      <c r="J352" s="189"/>
      <c r="K352" s="189"/>
      <c r="L352" s="189"/>
      <c r="M352" s="189"/>
      <c r="N352" s="189"/>
      <c r="O352" s="189"/>
      <c r="P352" s="189"/>
      <c r="Q352" s="190">
        <v>80680010149</v>
      </c>
      <c r="R352" s="190">
        <v>80680010149</v>
      </c>
    </row>
    <row r="353" spans="1:18" ht="23.25" x14ac:dyDescent="0.25">
      <c r="A353" s="54">
        <v>11</v>
      </c>
      <c r="B353" s="185" t="s">
        <v>267</v>
      </c>
      <c r="C353" s="186" t="s">
        <v>4</v>
      </c>
      <c r="D353" s="187">
        <v>0</v>
      </c>
      <c r="E353" s="188">
        <v>1</v>
      </c>
      <c r="F353" s="188">
        <v>1</v>
      </c>
      <c r="G353" s="188">
        <v>5</v>
      </c>
      <c r="H353" s="189" t="s">
        <v>44</v>
      </c>
      <c r="I353" s="189"/>
      <c r="J353" s="189"/>
      <c r="K353" s="189"/>
      <c r="L353" s="189"/>
      <c r="M353" s="189"/>
      <c r="N353" s="189"/>
      <c r="O353" s="189"/>
      <c r="P353" s="189"/>
      <c r="Q353" s="190">
        <v>80680050288</v>
      </c>
      <c r="R353" s="190">
        <v>80680050288</v>
      </c>
    </row>
    <row r="354" spans="1:18" x14ac:dyDescent="0.25">
      <c r="A354" s="115"/>
      <c r="B354" s="192"/>
      <c r="C354" s="186" t="s">
        <v>4</v>
      </c>
      <c r="D354" s="187">
        <v>1</v>
      </c>
      <c r="E354" s="188">
        <v>1.04</v>
      </c>
      <c r="F354" s="188">
        <v>0.04</v>
      </c>
      <c r="G354" s="188">
        <v>5</v>
      </c>
      <c r="H354" s="189" t="s">
        <v>44</v>
      </c>
      <c r="I354" s="189"/>
      <c r="J354" s="189"/>
      <c r="K354" s="189"/>
      <c r="L354" s="189"/>
      <c r="M354" s="189"/>
      <c r="N354" s="189"/>
      <c r="O354" s="189"/>
      <c r="P354" s="189"/>
      <c r="Q354" s="190">
        <v>80680010147</v>
      </c>
      <c r="R354" s="193">
        <v>80680050270001</v>
      </c>
    </row>
    <row r="355" spans="1:18" x14ac:dyDescent="0.25">
      <c r="A355" s="115"/>
      <c r="B355" s="192"/>
      <c r="C355" s="186" t="s">
        <v>4</v>
      </c>
      <c r="D355" s="187">
        <v>1.04</v>
      </c>
      <c r="E355" s="188">
        <v>2.83</v>
      </c>
      <c r="F355" s="188">
        <v>1.79</v>
      </c>
      <c r="G355" s="188">
        <v>4</v>
      </c>
      <c r="H355" s="189" t="s">
        <v>44</v>
      </c>
      <c r="I355" s="189"/>
      <c r="J355" s="189"/>
      <c r="K355" s="189"/>
      <c r="L355" s="189"/>
      <c r="M355" s="189"/>
      <c r="N355" s="189"/>
      <c r="O355" s="189"/>
      <c r="P355" s="189"/>
      <c r="Q355" s="190">
        <v>80680050288</v>
      </c>
      <c r="R355" s="190">
        <v>80680050311</v>
      </c>
    </row>
    <row r="356" spans="1:18" x14ac:dyDescent="0.25">
      <c r="A356" s="115"/>
      <c r="B356" s="192"/>
      <c r="C356" s="186" t="s">
        <v>4</v>
      </c>
      <c r="D356" s="187">
        <v>2.83</v>
      </c>
      <c r="E356" s="188">
        <v>2.88</v>
      </c>
      <c r="F356" s="188">
        <v>0.05</v>
      </c>
      <c r="G356" s="188">
        <v>4</v>
      </c>
      <c r="H356" s="189" t="s">
        <v>44</v>
      </c>
      <c r="I356" s="189"/>
      <c r="J356" s="189"/>
      <c r="K356" s="189"/>
      <c r="L356" s="189"/>
      <c r="M356" s="189"/>
      <c r="N356" s="189"/>
      <c r="O356" s="189"/>
      <c r="P356" s="189"/>
      <c r="Q356" s="190">
        <v>80680010147</v>
      </c>
      <c r="R356" s="190">
        <v>80680050270</v>
      </c>
    </row>
    <row r="357" spans="1:18" x14ac:dyDescent="0.25">
      <c r="A357" s="118"/>
      <c r="B357" s="194"/>
      <c r="C357" s="186" t="s">
        <v>4</v>
      </c>
      <c r="D357" s="187">
        <v>2.88</v>
      </c>
      <c r="E357" s="188">
        <v>4.7300000000000004</v>
      </c>
      <c r="F357" s="188">
        <v>1.85</v>
      </c>
      <c r="G357" s="188">
        <v>4</v>
      </c>
      <c r="H357" s="189" t="s">
        <v>44</v>
      </c>
      <c r="I357" s="189"/>
      <c r="J357" s="189"/>
      <c r="K357" s="189"/>
      <c r="L357" s="189"/>
      <c r="M357" s="189"/>
      <c r="N357" s="189"/>
      <c r="O357" s="189"/>
      <c r="P357" s="189"/>
      <c r="Q357" s="190">
        <v>80680050288</v>
      </c>
      <c r="R357" s="190">
        <v>80680050312</v>
      </c>
    </row>
    <row r="358" spans="1:18" x14ac:dyDescent="0.25">
      <c r="A358" s="118">
        <v>12</v>
      </c>
      <c r="B358" s="195" t="s">
        <v>268</v>
      </c>
      <c r="C358" s="196" t="s">
        <v>4</v>
      </c>
      <c r="D358" s="188">
        <v>0</v>
      </c>
      <c r="E358" s="188">
        <v>0.4</v>
      </c>
      <c r="F358" s="188">
        <v>0.4</v>
      </c>
      <c r="G358" s="188">
        <v>3.5</v>
      </c>
      <c r="H358" s="189" t="s">
        <v>44</v>
      </c>
      <c r="I358" s="189"/>
      <c r="J358" s="189"/>
      <c r="K358" s="189"/>
      <c r="L358" s="189"/>
      <c r="M358" s="189"/>
      <c r="N358" s="189"/>
      <c r="O358" s="189"/>
      <c r="P358" s="189"/>
      <c r="Q358" s="190"/>
      <c r="R358" s="200" t="s">
        <v>269</v>
      </c>
    </row>
    <row r="359" spans="1:18" ht="23.25" x14ac:dyDescent="0.25">
      <c r="A359" s="54">
        <v>13</v>
      </c>
      <c r="B359" s="197" t="s">
        <v>270</v>
      </c>
      <c r="C359" s="198" t="s">
        <v>4</v>
      </c>
      <c r="D359" s="188">
        <v>0</v>
      </c>
      <c r="E359" s="188">
        <v>1.63</v>
      </c>
      <c r="F359" s="188">
        <v>1.63</v>
      </c>
      <c r="G359" s="188">
        <v>4</v>
      </c>
      <c r="H359" s="189" t="s">
        <v>44</v>
      </c>
      <c r="I359" s="189"/>
      <c r="J359" s="189"/>
      <c r="K359" s="189"/>
      <c r="L359" s="189"/>
      <c r="M359" s="189"/>
      <c r="N359" s="189"/>
      <c r="O359" s="189"/>
      <c r="P359" s="189"/>
      <c r="Q359" s="190">
        <v>80680050289</v>
      </c>
      <c r="R359" s="190">
        <v>80680050289</v>
      </c>
    </row>
    <row r="360" spans="1:18" ht="23.25" x14ac:dyDescent="0.25">
      <c r="A360" s="54">
        <v>14</v>
      </c>
      <c r="B360" s="201" t="s">
        <v>271</v>
      </c>
      <c r="C360" s="202" t="s">
        <v>3</v>
      </c>
      <c r="D360" s="187">
        <v>0</v>
      </c>
      <c r="E360" s="188">
        <v>1.57</v>
      </c>
      <c r="F360" s="188">
        <v>1.57</v>
      </c>
      <c r="G360" s="188">
        <v>4.5</v>
      </c>
      <c r="H360" s="189" t="s">
        <v>59</v>
      </c>
      <c r="I360" s="189"/>
      <c r="J360" s="189"/>
      <c r="K360" s="189"/>
      <c r="L360" s="189"/>
      <c r="M360" s="189"/>
      <c r="N360" s="189"/>
      <c r="O360" s="189"/>
      <c r="P360" s="189"/>
      <c r="Q360" s="190">
        <v>80680020230</v>
      </c>
      <c r="R360" s="190">
        <v>80680020230</v>
      </c>
    </row>
    <row r="361" spans="1:18" x14ac:dyDescent="0.25">
      <c r="A361" s="115"/>
      <c r="B361" s="203"/>
      <c r="C361" s="202" t="s">
        <v>3</v>
      </c>
      <c r="D361" s="187">
        <v>1.57</v>
      </c>
      <c r="E361" s="188">
        <v>3.17</v>
      </c>
      <c r="F361" s="188">
        <v>1.6</v>
      </c>
      <c r="G361" s="188">
        <v>5</v>
      </c>
      <c r="H361" s="189" t="s">
        <v>44</v>
      </c>
      <c r="I361" s="189"/>
      <c r="J361" s="189"/>
      <c r="K361" s="189"/>
      <c r="L361" s="189"/>
      <c r="M361" s="189"/>
      <c r="N361" s="189"/>
      <c r="O361" s="189"/>
      <c r="P361" s="189"/>
      <c r="Q361" s="190">
        <v>80680020230</v>
      </c>
      <c r="R361" s="190">
        <v>80680020230</v>
      </c>
    </row>
    <row r="362" spans="1:18" x14ac:dyDescent="0.25">
      <c r="A362" s="118"/>
      <c r="B362" s="194"/>
      <c r="C362" s="202" t="s">
        <v>3</v>
      </c>
      <c r="D362" s="187">
        <v>3.17</v>
      </c>
      <c r="E362" s="188">
        <v>4.84</v>
      </c>
      <c r="F362" s="188">
        <v>1.67</v>
      </c>
      <c r="G362" s="188">
        <v>4.5</v>
      </c>
      <c r="H362" s="189" t="s">
        <v>44</v>
      </c>
      <c r="I362" s="189"/>
      <c r="J362" s="189"/>
      <c r="K362" s="189"/>
      <c r="L362" s="189"/>
      <c r="M362" s="189"/>
      <c r="N362" s="189"/>
      <c r="O362" s="189"/>
      <c r="P362" s="189"/>
      <c r="Q362" s="190">
        <v>80680020230</v>
      </c>
      <c r="R362" s="190">
        <v>80680090482</v>
      </c>
    </row>
    <row r="363" spans="1:18" ht="23.25" x14ac:dyDescent="0.25">
      <c r="A363" s="118">
        <v>15</v>
      </c>
      <c r="B363" s="195" t="s">
        <v>272</v>
      </c>
      <c r="C363" s="196" t="s">
        <v>4</v>
      </c>
      <c r="D363" s="188">
        <v>0</v>
      </c>
      <c r="E363" s="188">
        <v>5.59</v>
      </c>
      <c r="F363" s="188">
        <v>5.59</v>
      </c>
      <c r="G363" s="188">
        <v>3.5</v>
      </c>
      <c r="H363" s="189" t="s">
        <v>44</v>
      </c>
      <c r="I363" s="189"/>
      <c r="J363" s="189"/>
      <c r="K363" s="189"/>
      <c r="L363" s="189"/>
      <c r="M363" s="189"/>
      <c r="N363" s="189"/>
      <c r="O363" s="189"/>
      <c r="P363" s="189"/>
      <c r="Q363" s="190">
        <v>80680090376</v>
      </c>
      <c r="R363" s="190">
        <v>80680090376</v>
      </c>
    </row>
    <row r="364" spans="1:18" ht="23.25" x14ac:dyDescent="0.25">
      <c r="A364" s="61">
        <v>16</v>
      </c>
      <c r="B364" s="204" t="s">
        <v>273</v>
      </c>
      <c r="C364" s="186" t="s">
        <v>4</v>
      </c>
      <c r="D364" s="188">
        <v>0</v>
      </c>
      <c r="E364" s="188">
        <v>1.54</v>
      </c>
      <c r="F364" s="188">
        <v>1.54</v>
      </c>
      <c r="G364" s="188">
        <v>3.5</v>
      </c>
      <c r="H364" s="189" t="s">
        <v>44</v>
      </c>
      <c r="I364" s="189"/>
      <c r="J364" s="189"/>
      <c r="K364" s="189"/>
      <c r="L364" s="189"/>
      <c r="M364" s="189"/>
      <c r="N364" s="189"/>
      <c r="O364" s="189"/>
      <c r="P364" s="189"/>
      <c r="Q364" s="190">
        <v>80680090284</v>
      </c>
      <c r="R364" s="190">
        <v>80680090284</v>
      </c>
    </row>
    <row r="365" spans="1:18" ht="16.5" customHeight="1" x14ac:dyDescent="0.25">
      <c r="A365" s="54">
        <v>17</v>
      </c>
      <c r="B365" s="197" t="s">
        <v>274</v>
      </c>
      <c r="C365" s="198" t="s">
        <v>4</v>
      </c>
      <c r="D365" s="188">
        <v>0</v>
      </c>
      <c r="E365" s="188">
        <v>1.94</v>
      </c>
      <c r="F365" s="188">
        <v>1.94</v>
      </c>
      <c r="G365" s="188">
        <v>3</v>
      </c>
      <c r="H365" s="189" t="s">
        <v>44</v>
      </c>
      <c r="I365" s="189"/>
      <c r="J365" s="189"/>
      <c r="K365" s="189"/>
      <c r="L365" s="189"/>
      <c r="M365" s="189"/>
      <c r="N365" s="189"/>
      <c r="O365" s="189"/>
      <c r="P365" s="189"/>
      <c r="Q365" s="190">
        <v>80680090375</v>
      </c>
      <c r="R365" s="190">
        <v>80680090375</v>
      </c>
    </row>
    <row r="366" spans="1:18" ht="23.25" x14ac:dyDescent="0.25">
      <c r="A366" s="54">
        <v>18</v>
      </c>
      <c r="B366" s="185" t="s">
        <v>275</v>
      </c>
      <c r="C366" s="186" t="s">
        <v>4</v>
      </c>
      <c r="D366" s="187">
        <v>0</v>
      </c>
      <c r="E366" s="188">
        <v>1.39</v>
      </c>
      <c r="F366" s="188">
        <v>1.39</v>
      </c>
      <c r="G366" s="188">
        <v>3.5</v>
      </c>
      <c r="H366" s="189" t="s">
        <v>44</v>
      </c>
      <c r="I366" s="189"/>
      <c r="J366" s="189"/>
      <c r="K366" s="189"/>
      <c r="L366" s="189"/>
      <c r="M366" s="189"/>
      <c r="N366" s="189"/>
      <c r="O366" s="189"/>
      <c r="P366" s="189"/>
      <c r="Q366" s="190">
        <v>80680090371</v>
      </c>
      <c r="R366" s="190">
        <v>80680090490</v>
      </c>
    </row>
    <row r="367" spans="1:18" x14ac:dyDescent="0.25">
      <c r="A367" s="115"/>
      <c r="B367" s="192"/>
      <c r="C367" s="186" t="s">
        <v>4</v>
      </c>
      <c r="D367" s="187">
        <f>E366</f>
        <v>1.39</v>
      </c>
      <c r="E367" s="188">
        <f>D367+F367</f>
        <v>1.5899999999999999</v>
      </c>
      <c r="F367" s="188">
        <v>0.2</v>
      </c>
      <c r="G367" s="188">
        <v>3.5</v>
      </c>
      <c r="H367" s="189" t="s">
        <v>44</v>
      </c>
      <c r="I367" s="189"/>
      <c r="J367" s="189"/>
      <c r="K367" s="189"/>
      <c r="L367" s="189"/>
      <c r="M367" s="189"/>
      <c r="N367" s="189"/>
      <c r="O367" s="189"/>
      <c r="P367" s="189"/>
      <c r="Q367" s="205" t="s">
        <v>49</v>
      </c>
      <c r="R367" s="190">
        <v>80680020290</v>
      </c>
    </row>
    <row r="368" spans="1:18" x14ac:dyDescent="0.25">
      <c r="A368" s="118"/>
      <c r="B368" s="206"/>
      <c r="C368" s="186" t="s">
        <v>4</v>
      </c>
      <c r="D368" s="187">
        <v>1.5899999999999999</v>
      </c>
      <c r="E368" s="188">
        <v>1.9499999999999997</v>
      </c>
      <c r="F368" s="188">
        <v>0.36</v>
      </c>
      <c r="G368" s="188">
        <v>3.5</v>
      </c>
      <c r="H368" s="189" t="s">
        <v>44</v>
      </c>
      <c r="I368" s="189"/>
      <c r="J368" s="189"/>
      <c r="K368" s="189"/>
      <c r="L368" s="189"/>
      <c r="M368" s="189"/>
      <c r="N368" s="189"/>
      <c r="O368" s="189"/>
      <c r="P368" s="189"/>
      <c r="Q368" s="190">
        <v>80680090371</v>
      </c>
      <c r="R368" s="190">
        <v>80680090481</v>
      </c>
    </row>
    <row r="369" spans="1:18" ht="23.25" x14ac:dyDescent="0.25">
      <c r="A369" s="115">
        <v>19</v>
      </c>
      <c r="B369" s="192" t="s">
        <v>276</v>
      </c>
      <c r="C369" s="186" t="s">
        <v>4</v>
      </c>
      <c r="D369" s="187">
        <v>0</v>
      </c>
      <c r="E369" s="188">
        <v>0.60000000000000009</v>
      </c>
      <c r="F369" s="188">
        <v>0.60000000000000009</v>
      </c>
      <c r="G369" s="188">
        <v>3.3</v>
      </c>
      <c r="H369" s="189" t="s">
        <v>44</v>
      </c>
      <c r="I369" s="189"/>
      <c r="J369" s="189"/>
      <c r="K369" s="189"/>
      <c r="L369" s="189"/>
      <c r="M369" s="189"/>
      <c r="N369" s="189"/>
      <c r="O369" s="189"/>
      <c r="P369" s="189"/>
      <c r="Q369" s="190">
        <v>80680090333</v>
      </c>
      <c r="R369" s="190">
        <v>80680090333</v>
      </c>
    </row>
    <row r="370" spans="1:18" x14ac:dyDescent="0.25">
      <c r="A370" s="118"/>
      <c r="B370" s="194"/>
      <c r="C370" s="186" t="s">
        <v>4</v>
      </c>
      <c r="D370" s="187">
        <v>0.6</v>
      </c>
      <c r="E370" s="188">
        <f>D370+F370</f>
        <v>0.91999999999999993</v>
      </c>
      <c r="F370" s="188">
        <v>0.32</v>
      </c>
      <c r="G370" s="188">
        <v>3</v>
      </c>
      <c r="H370" s="189" t="s">
        <v>44</v>
      </c>
      <c r="I370" s="189"/>
      <c r="J370" s="189"/>
      <c r="K370" s="189"/>
      <c r="L370" s="189"/>
      <c r="M370" s="189"/>
      <c r="N370" s="189"/>
      <c r="O370" s="189"/>
      <c r="P370" s="189"/>
      <c r="Q370" s="190"/>
      <c r="R370" s="200" t="s">
        <v>277</v>
      </c>
    </row>
    <row r="371" spans="1:18" ht="23.25" x14ac:dyDescent="0.25">
      <c r="A371" s="118">
        <v>20</v>
      </c>
      <c r="B371" s="195" t="s">
        <v>278</v>
      </c>
      <c r="C371" s="196" t="s">
        <v>3</v>
      </c>
      <c r="D371" s="188">
        <v>0</v>
      </c>
      <c r="E371" s="188">
        <v>3.67</v>
      </c>
      <c r="F371" s="188">
        <v>3.67</v>
      </c>
      <c r="G371" s="188">
        <v>4.5</v>
      </c>
      <c r="H371" s="189" t="s">
        <v>44</v>
      </c>
      <c r="I371" s="189"/>
      <c r="J371" s="189"/>
      <c r="K371" s="189"/>
      <c r="L371" s="189"/>
      <c r="M371" s="189"/>
      <c r="N371" s="189"/>
      <c r="O371" s="189"/>
      <c r="P371" s="189"/>
      <c r="Q371" s="190">
        <v>80680090316</v>
      </c>
      <c r="R371" s="190">
        <v>80680090316</v>
      </c>
    </row>
    <row r="372" spans="1:18" x14ac:dyDescent="0.25">
      <c r="A372" s="54">
        <v>21</v>
      </c>
      <c r="B372" s="197" t="s">
        <v>279</v>
      </c>
      <c r="C372" s="198" t="s">
        <v>4</v>
      </c>
      <c r="D372" s="188">
        <v>0</v>
      </c>
      <c r="E372" s="188">
        <v>2.29</v>
      </c>
      <c r="F372" s="188">
        <v>2.29</v>
      </c>
      <c r="G372" s="188">
        <v>3.8</v>
      </c>
      <c r="H372" s="189" t="s">
        <v>44</v>
      </c>
      <c r="I372" s="189"/>
      <c r="J372" s="189"/>
      <c r="K372" s="189"/>
      <c r="L372" s="189"/>
      <c r="M372" s="189"/>
      <c r="N372" s="189"/>
      <c r="O372" s="189"/>
      <c r="P372" s="189"/>
      <c r="Q372" s="190">
        <v>80680090315</v>
      </c>
      <c r="R372" s="190">
        <v>80680090315</v>
      </c>
    </row>
    <row r="373" spans="1:18" x14ac:dyDescent="0.25">
      <c r="A373" s="54">
        <v>22</v>
      </c>
      <c r="B373" s="185" t="s">
        <v>280</v>
      </c>
      <c r="C373" s="198" t="s">
        <v>4</v>
      </c>
      <c r="D373" s="187">
        <v>0</v>
      </c>
      <c r="E373" s="188">
        <v>0.31</v>
      </c>
      <c r="F373" s="188">
        <v>0.31</v>
      </c>
      <c r="G373" s="188">
        <v>3</v>
      </c>
      <c r="H373" s="189" t="s">
        <v>44</v>
      </c>
      <c r="I373" s="189"/>
      <c r="J373" s="189"/>
      <c r="K373" s="189"/>
      <c r="L373" s="189"/>
      <c r="M373" s="189"/>
      <c r="N373" s="189"/>
      <c r="O373" s="189"/>
      <c r="P373" s="189"/>
      <c r="Q373" s="190"/>
      <c r="R373" s="200" t="s">
        <v>281</v>
      </c>
    </row>
    <row r="374" spans="1:18" x14ac:dyDescent="0.25">
      <c r="A374" s="115"/>
      <c r="B374" s="192"/>
      <c r="C374" s="198" t="s">
        <v>4</v>
      </c>
      <c r="D374" s="187">
        <v>0.31</v>
      </c>
      <c r="E374" s="188">
        <v>0.72</v>
      </c>
      <c r="F374" s="188">
        <v>0.41</v>
      </c>
      <c r="G374" s="188">
        <v>3</v>
      </c>
      <c r="H374" s="189" t="s">
        <v>44</v>
      </c>
      <c r="I374" s="189"/>
      <c r="J374" s="189"/>
      <c r="K374" s="189"/>
      <c r="L374" s="189"/>
      <c r="M374" s="189"/>
      <c r="N374" s="189"/>
      <c r="O374" s="189"/>
      <c r="P374" s="189"/>
      <c r="Q374" s="190">
        <v>80680020023</v>
      </c>
      <c r="R374" s="190">
        <v>80680020284</v>
      </c>
    </row>
    <row r="375" spans="1:18" x14ac:dyDescent="0.25">
      <c r="A375" s="118"/>
      <c r="B375" s="194"/>
      <c r="C375" s="198" t="s">
        <v>4</v>
      </c>
      <c r="D375" s="187">
        <v>0.72</v>
      </c>
      <c r="E375" s="188">
        <v>1.21</v>
      </c>
      <c r="F375" s="188">
        <v>0.49</v>
      </c>
      <c r="G375" s="188">
        <v>3</v>
      </c>
      <c r="H375" s="189" t="s">
        <v>44</v>
      </c>
      <c r="I375" s="189"/>
      <c r="J375" s="189"/>
      <c r="K375" s="189"/>
      <c r="L375" s="189"/>
      <c r="M375" s="189"/>
      <c r="N375" s="189"/>
      <c r="O375" s="189"/>
      <c r="P375" s="189"/>
      <c r="Q375" s="190"/>
      <c r="R375" s="200" t="s">
        <v>282</v>
      </c>
    </row>
    <row r="376" spans="1:18" ht="23.25" x14ac:dyDescent="0.25">
      <c r="A376" s="115">
        <v>23</v>
      </c>
      <c r="B376" s="199" t="s">
        <v>283</v>
      </c>
      <c r="C376" s="186" t="s">
        <v>4</v>
      </c>
      <c r="D376" s="188">
        <v>0</v>
      </c>
      <c r="E376" s="188">
        <v>1.34</v>
      </c>
      <c r="F376" s="188">
        <v>1.34</v>
      </c>
      <c r="G376" s="188">
        <v>4</v>
      </c>
      <c r="H376" s="189" t="s">
        <v>44</v>
      </c>
      <c r="I376" s="189"/>
      <c r="J376" s="189"/>
      <c r="K376" s="189"/>
      <c r="L376" s="189"/>
      <c r="M376" s="189"/>
      <c r="N376" s="189"/>
      <c r="O376" s="189"/>
      <c r="P376" s="189"/>
      <c r="Q376" s="190"/>
      <c r="R376" s="200" t="s">
        <v>284</v>
      </c>
    </row>
    <row r="377" spans="1:18" ht="23.25" x14ac:dyDescent="0.25">
      <c r="A377" s="54">
        <v>24</v>
      </c>
      <c r="B377" s="185" t="s">
        <v>285</v>
      </c>
      <c r="C377" s="186" t="s">
        <v>4</v>
      </c>
      <c r="D377" s="187">
        <v>0</v>
      </c>
      <c r="E377" s="188">
        <v>0.49</v>
      </c>
      <c r="F377" s="188">
        <v>0.49</v>
      </c>
      <c r="G377" s="188">
        <v>3</v>
      </c>
      <c r="H377" s="189" t="s">
        <v>44</v>
      </c>
      <c r="I377" s="189"/>
      <c r="J377" s="189"/>
      <c r="K377" s="189"/>
      <c r="L377" s="189"/>
      <c r="M377" s="189"/>
      <c r="N377" s="189"/>
      <c r="O377" s="189"/>
      <c r="P377" s="189"/>
      <c r="Q377" s="190"/>
      <c r="R377" s="200" t="s">
        <v>286</v>
      </c>
    </row>
    <row r="378" spans="1:18" x14ac:dyDescent="0.25">
      <c r="A378" s="115"/>
      <c r="B378" s="192"/>
      <c r="C378" s="186" t="s">
        <v>4</v>
      </c>
      <c r="D378" s="187">
        <v>0.49</v>
      </c>
      <c r="E378" s="188">
        <v>1.3900000000000001</v>
      </c>
      <c r="F378" s="188">
        <v>0.9</v>
      </c>
      <c r="G378" s="188">
        <v>3</v>
      </c>
      <c r="H378" s="189" t="s">
        <v>44</v>
      </c>
      <c r="I378" s="189"/>
      <c r="J378" s="189"/>
      <c r="K378" s="189"/>
      <c r="L378" s="189"/>
      <c r="M378" s="189"/>
      <c r="N378" s="189"/>
      <c r="O378" s="189"/>
      <c r="P378" s="189"/>
      <c r="Q378" s="190">
        <v>80680080217</v>
      </c>
      <c r="R378" s="190">
        <v>80680080217</v>
      </c>
    </row>
    <row r="379" spans="1:18" x14ac:dyDescent="0.25">
      <c r="A379" s="115"/>
      <c r="B379" s="192"/>
      <c r="C379" s="186" t="s">
        <v>4</v>
      </c>
      <c r="D379" s="187">
        <v>1.3900000000000001</v>
      </c>
      <c r="E379" s="188">
        <v>1.58</v>
      </c>
      <c r="F379" s="188">
        <v>0.19</v>
      </c>
      <c r="G379" s="188">
        <v>3</v>
      </c>
      <c r="H379" s="189" t="s">
        <v>44</v>
      </c>
      <c r="I379" s="189"/>
      <c r="J379" s="189"/>
      <c r="K379" s="189"/>
      <c r="L379" s="189"/>
      <c r="M379" s="189"/>
      <c r="N379" s="189"/>
      <c r="O379" s="189"/>
      <c r="P379" s="189"/>
      <c r="Q379" s="190"/>
      <c r="R379" s="200" t="s">
        <v>287</v>
      </c>
    </row>
    <row r="380" spans="1:18" x14ac:dyDescent="0.25">
      <c r="A380" s="115"/>
      <c r="B380" s="192"/>
      <c r="C380" s="186" t="s">
        <v>4</v>
      </c>
      <c r="D380" s="187">
        <v>1.58</v>
      </c>
      <c r="E380" s="188">
        <v>1.87</v>
      </c>
      <c r="F380" s="188">
        <v>0.28999999999999998</v>
      </c>
      <c r="G380" s="188">
        <v>3</v>
      </c>
      <c r="H380" s="189" t="s">
        <v>44</v>
      </c>
      <c r="I380" s="189"/>
      <c r="J380" s="189"/>
      <c r="K380" s="189"/>
      <c r="L380" s="189"/>
      <c r="M380" s="189"/>
      <c r="N380" s="189"/>
      <c r="O380" s="189"/>
      <c r="P380" s="189"/>
      <c r="Q380" s="190">
        <v>80680080217</v>
      </c>
      <c r="R380" s="190">
        <v>80680090369</v>
      </c>
    </row>
    <row r="381" spans="1:18" x14ac:dyDescent="0.25">
      <c r="A381" s="54">
        <v>25</v>
      </c>
      <c r="B381" s="185" t="s">
        <v>288</v>
      </c>
      <c r="C381" s="186" t="s">
        <v>3</v>
      </c>
      <c r="D381" s="187">
        <v>0</v>
      </c>
      <c r="E381" s="188">
        <v>0.79</v>
      </c>
      <c r="F381" s="188">
        <v>0.79</v>
      </c>
      <c r="G381" s="188">
        <v>5.5</v>
      </c>
      <c r="H381" s="189" t="s">
        <v>59</v>
      </c>
      <c r="I381" s="189"/>
      <c r="J381" s="189"/>
      <c r="K381" s="189"/>
      <c r="L381" s="189"/>
      <c r="M381" s="189"/>
      <c r="N381" s="189"/>
      <c r="O381" s="189"/>
      <c r="P381" s="189"/>
      <c r="Q381" s="190">
        <v>80680080206</v>
      </c>
      <c r="R381" s="190">
        <v>80680080206</v>
      </c>
    </row>
    <row r="382" spans="1:18" x14ac:dyDescent="0.25">
      <c r="A382" s="115"/>
      <c r="B382" s="192"/>
      <c r="C382" s="186" t="s">
        <v>3</v>
      </c>
      <c r="D382" s="187">
        <v>0.79</v>
      </c>
      <c r="E382" s="188">
        <v>2.56</v>
      </c>
      <c r="F382" s="188">
        <v>1.77</v>
      </c>
      <c r="G382" s="188">
        <v>3.5</v>
      </c>
      <c r="H382" s="189" t="s">
        <v>44</v>
      </c>
      <c r="I382" s="189"/>
      <c r="J382" s="189"/>
      <c r="K382" s="189"/>
      <c r="L382" s="189"/>
      <c r="M382" s="189"/>
      <c r="N382" s="189"/>
      <c r="O382" s="189"/>
      <c r="P382" s="189"/>
      <c r="Q382" s="190">
        <v>80680080206</v>
      </c>
      <c r="R382" s="190">
        <v>80680080206</v>
      </c>
    </row>
    <row r="383" spans="1:18" x14ac:dyDescent="0.25">
      <c r="A383" s="54">
        <v>26</v>
      </c>
      <c r="B383" s="185" t="s">
        <v>289</v>
      </c>
      <c r="C383" s="186" t="s">
        <v>4</v>
      </c>
      <c r="D383" s="187">
        <v>0</v>
      </c>
      <c r="E383" s="188">
        <v>1.84</v>
      </c>
      <c r="F383" s="188">
        <v>1.84</v>
      </c>
      <c r="G383" s="188">
        <v>4.5</v>
      </c>
      <c r="H383" s="189" t="s">
        <v>44</v>
      </c>
      <c r="I383" s="189"/>
      <c r="J383" s="189"/>
      <c r="K383" s="189"/>
      <c r="L383" s="189"/>
      <c r="M383" s="189"/>
      <c r="N383" s="189"/>
      <c r="O383" s="189"/>
      <c r="P383" s="189"/>
      <c r="Q383" s="190">
        <v>80680020255</v>
      </c>
      <c r="R383" s="190">
        <v>80680080200</v>
      </c>
    </row>
    <row r="384" spans="1:18" x14ac:dyDescent="0.25">
      <c r="A384" s="115"/>
      <c r="B384" s="192"/>
      <c r="C384" s="186" t="s">
        <v>4</v>
      </c>
      <c r="D384" s="187">
        <v>1.84</v>
      </c>
      <c r="E384" s="188">
        <v>3.77</v>
      </c>
      <c r="F384" s="188">
        <v>1.93</v>
      </c>
      <c r="G384" s="188">
        <v>4</v>
      </c>
      <c r="H384" s="189" t="s">
        <v>44</v>
      </c>
      <c r="I384" s="189"/>
      <c r="J384" s="189"/>
      <c r="K384" s="189"/>
      <c r="L384" s="189"/>
      <c r="M384" s="189"/>
      <c r="N384" s="189"/>
      <c r="O384" s="189"/>
      <c r="P384" s="189"/>
      <c r="Q384" s="190">
        <v>80680020255</v>
      </c>
      <c r="R384" s="190">
        <v>80680020255</v>
      </c>
    </row>
    <row r="385" spans="1:18" x14ac:dyDescent="0.25">
      <c r="A385" s="54">
        <v>27</v>
      </c>
      <c r="B385" s="185" t="s">
        <v>290</v>
      </c>
      <c r="C385" s="186" t="s">
        <v>4</v>
      </c>
      <c r="D385" s="187">
        <v>0</v>
      </c>
      <c r="E385" s="188">
        <v>1.1000000000000001</v>
      </c>
      <c r="F385" s="188">
        <v>1.1000000000000001</v>
      </c>
      <c r="G385" s="188">
        <v>3.7</v>
      </c>
      <c r="H385" s="189" t="s">
        <v>44</v>
      </c>
      <c r="I385" s="189"/>
      <c r="J385" s="189"/>
      <c r="K385" s="189"/>
      <c r="L385" s="189"/>
      <c r="M385" s="189"/>
      <c r="N385" s="189"/>
      <c r="O385" s="189"/>
      <c r="P385" s="189"/>
      <c r="Q385" s="190">
        <v>80680070539</v>
      </c>
      <c r="R385" s="190">
        <v>80680070539</v>
      </c>
    </row>
    <row r="386" spans="1:18" x14ac:dyDescent="0.25">
      <c r="A386" s="115"/>
      <c r="B386" s="192"/>
      <c r="C386" s="186" t="s">
        <v>4</v>
      </c>
      <c r="D386" s="187">
        <v>1.1000000000000001</v>
      </c>
      <c r="E386" s="188">
        <v>2.4300000000000002</v>
      </c>
      <c r="F386" s="188">
        <v>1.33</v>
      </c>
      <c r="G386" s="188">
        <v>3.7</v>
      </c>
      <c r="H386" s="189" t="s">
        <v>44</v>
      </c>
      <c r="I386" s="189"/>
      <c r="J386" s="189"/>
      <c r="K386" s="189"/>
      <c r="L386" s="189"/>
      <c r="M386" s="189"/>
      <c r="N386" s="189"/>
      <c r="O386" s="189"/>
      <c r="P386" s="189"/>
      <c r="Q386" s="190">
        <v>80680070539</v>
      </c>
      <c r="R386" s="190">
        <v>80680080215</v>
      </c>
    </row>
    <row r="387" spans="1:18" x14ac:dyDescent="0.25">
      <c r="A387" s="115"/>
      <c r="B387" s="192"/>
      <c r="C387" s="186" t="s">
        <v>4</v>
      </c>
      <c r="D387" s="187">
        <v>2.4300000000000002</v>
      </c>
      <c r="E387" s="188">
        <v>3.9800000000000004</v>
      </c>
      <c r="F387" s="188">
        <v>1.55</v>
      </c>
      <c r="G387" s="188">
        <v>3.5</v>
      </c>
      <c r="H387" s="189" t="s">
        <v>44</v>
      </c>
      <c r="I387" s="189"/>
      <c r="J387" s="189"/>
      <c r="K387" s="189"/>
      <c r="L387" s="189"/>
      <c r="M387" s="189"/>
      <c r="N387" s="189"/>
      <c r="O387" s="189"/>
      <c r="P387" s="189"/>
      <c r="Q387" s="190">
        <v>80680070539</v>
      </c>
      <c r="R387" s="190">
        <v>80680080216</v>
      </c>
    </row>
    <row r="388" spans="1:18" ht="23.25" x14ac:dyDescent="0.25">
      <c r="A388" s="54">
        <v>28</v>
      </c>
      <c r="B388" s="185" t="s">
        <v>291</v>
      </c>
      <c r="C388" s="186" t="s">
        <v>4</v>
      </c>
      <c r="D388" s="187">
        <v>0</v>
      </c>
      <c r="E388" s="188">
        <v>1.96</v>
      </c>
      <c r="F388" s="188">
        <v>1.96</v>
      </c>
      <c r="G388" s="188">
        <v>4</v>
      </c>
      <c r="H388" s="189" t="s">
        <v>44</v>
      </c>
      <c r="I388" s="189"/>
      <c r="J388" s="189"/>
      <c r="K388" s="189"/>
      <c r="L388" s="189"/>
      <c r="M388" s="189"/>
      <c r="N388" s="189"/>
      <c r="O388" s="189"/>
      <c r="P388" s="189"/>
      <c r="Q388" s="190">
        <v>80680080213</v>
      </c>
      <c r="R388" s="190">
        <v>80680080213</v>
      </c>
    </row>
    <row r="389" spans="1:18" x14ac:dyDescent="0.25">
      <c r="A389" s="115"/>
      <c r="B389" s="192"/>
      <c r="C389" s="186" t="s">
        <v>4</v>
      </c>
      <c r="D389" s="187">
        <v>1.96</v>
      </c>
      <c r="E389" s="188">
        <v>2.9699999999999998</v>
      </c>
      <c r="F389" s="188">
        <v>1.01</v>
      </c>
      <c r="G389" s="188">
        <v>3</v>
      </c>
      <c r="H389" s="189" t="s">
        <v>44</v>
      </c>
      <c r="I389" s="189"/>
      <c r="J389" s="189"/>
      <c r="K389" s="189"/>
      <c r="L389" s="189"/>
      <c r="M389" s="189"/>
      <c r="N389" s="189"/>
      <c r="O389" s="189"/>
      <c r="P389" s="189"/>
      <c r="Q389" s="190"/>
      <c r="R389" s="200" t="s">
        <v>292</v>
      </c>
    </row>
    <row r="390" spans="1:18" ht="23.25" x14ac:dyDescent="0.25">
      <c r="A390" s="54">
        <v>29</v>
      </c>
      <c r="B390" s="185" t="s">
        <v>293</v>
      </c>
      <c r="C390" s="186" t="s">
        <v>4</v>
      </c>
      <c r="D390" s="187">
        <v>0</v>
      </c>
      <c r="E390" s="188">
        <v>1.64</v>
      </c>
      <c r="F390" s="188">
        <v>1.64</v>
      </c>
      <c r="G390" s="188">
        <v>3</v>
      </c>
      <c r="H390" s="189" t="s">
        <v>44</v>
      </c>
      <c r="I390" s="189"/>
      <c r="J390" s="189"/>
      <c r="K390" s="189"/>
      <c r="L390" s="189"/>
      <c r="M390" s="189"/>
      <c r="N390" s="189"/>
      <c r="O390" s="189"/>
      <c r="P390" s="189"/>
      <c r="Q390" s="190"/>
      <c r="R390" s="200" t="s">
        <v>294</v>
      </c>
    </row>
    <row r="391" spans="1:18" x14ac:dyDescent="0.25">
      <c r="A391" s="115"/>
      <c r="B391" s="192"/>
      <c r="C391" s="186" t="s">
        <v>4</v>
      </c>
      <c r="D391" s="187">
        <v>1.64</v>
      </c>
      <c r="E391" s="188">
        <v>1.97</v>
      </c>
      <c r="F391" s="188">
        <v>0.33</v>
      </c>
      <c r="G391" s="188">
        <v>3</v>
      </c>
      <c r="H391" s="189" t="s">
        <v>44</v>
      </c>
      <c r="I391" s="189"/>
      <c r="J391" s="189"/>
      <c r="K391" s="189"/>
      <c r="L391" s="189"/>
      <c r="M391" s="189"/>
      <c r="N391" s="189"/>
      <c r="O391" s="189"/>
      <c r="P391" s="189"/>
      <c r="Q391" s="190">
        <v>80680100118</v>
      </c>
      <c r="R391" s="190">
        <v>80680100118</v>
      </c>
    </row>
    <row r="392" spans="1:18" x14ac:dyDescent="0.25">
      <c r="A392" s="115"/>
      <c r="B392" s="192"/>
      <c r="C392" s="186" t="s">
        <v>4</v>
      </c>
      <c r="D392" s="187">
        <v>1.97</v>
      </c>
      <c r="E392" s="188">
        <v>2.2400000000000002</v>
      </c>
      <c r="F392" s="188">
        <v>0.27</v>
      </c>
      <c r="G392" s="188">
        <v>3</v>
      </c>
      <c r="H392" s="189" t="s">
        <v>44</v>
      </c>
      <c r="I392" s="189"/>
      <c r="J392" s="189"/>
      <c r="K392" s="189"/>
      <c r="L392" s="189"/>
      <c r="M392" s="189"/>
      <c r="N392" s="189"/>
      <c r="O392" s="189"/>
      <c r="P392" s="189"/>
      <c r="Q392" s="190">
        <v>80680100118</v>
      </c>
      <c r="R392" s="190">
        <v>80680100118</v>
      </c>
    </row>
    <row r="393" spans="1:18" x14ac:dyDescent="0.25">
      <c r="A393" s="115"/>
      <c r="B393" s="192"/>
      <c r="C393" s="186" t="s">
        <v>4</v>
      </c>
      <c r="D393" s="187">
        <v>2.2400000000000002</v>
      </c>
      <c r="E393" s="188">
        <v>2.4200000000000004</v>
      </c>
      <c r="F393" s="188">
        <v>0.18</v>
      </c>
      <c r="G393" s="188">
        <v>3</v>
      </c>
      <c r="H393" s="189" t="s">
        <v>44</v>
      </c>
      <c r="I393" s="189"/>
      <c r="J393" s="189"/>
      <c r="K393" s="189"/>
      <c r="L393" s="189"/>
      <c r="M393" s="189"/>
      <c r="N393" s="189"/>
      <c r="O393" s="189"/>
      <c r="P393" s="189"/>
      <c r="Q393" s="190">
        <v>80680100118</v>
      </c>
      <c r="R393" s="190">
        <v>80680100118</v>
      </c>
    </row>
    <row r="394" spans="1:18" x14ac:dyDescent="0.25">
      <c r="A394" s="54">
        <v>30</v>
      </c>
      <c r="B394" s="201" t="s">
        <v>295</v>
      </c>
      <c r="C394" s="186" t="s">
        <v>4</v>
      </c>
      <c r="D394" s="187">
        <v>0</v>
      </c>
      <c r="E394" s="188">
        <v>0.2</v>
      </c>
      <c r="F394" s="188">
        <v>0.2</v>
      </c>
      <c r="G394" s="188">
        <v>4</v>
      </c>
      <c r="H394" s="189" t="s">
        <v>44</v>
      </c>
      <c r="I394" s="189"/>
      <c r="J394" s="189"/>
      <c r="K394" s="189"/>
      <c r="L394" s="189"/>
      <c r="M394" s="189"/>
      <c r="N394" s="189"/>
      <c r="O394" s="189"/>
      <c r="P394" s="189"/>
      <c r="Q394" s="190">
        <v>80680100013</v>
      </c>
      <c r="R394" s="190">
        <v>80680100124</v>
      </c>
    </row>
    <row r="395" spans="1:18" x14ac:dyDescent="0.25">
      <c r="A395" s="115"/>
      <c r="B395" s="192"/>
      <c r="C395" s="186" t="s">
        <v>4</v>
      </c>
      <c r="D395" s="187">
        <v>0.2</v>
      </c>
      <c r="E395" s="188">
        <v>1.1100000000000001</v>
      </c>
      <c r="F395" s="188">
        <v>0.91</v>
      </c>
      <c r="G395" s="188">
        <v>4</v>
      </c>
      <c r="H395" s="189" t="s">
        <v>44</v>
      </c>
      <c r="I395" s="189"/>
      <c r="J395" s="189"/>
      <c r="K395" s="189"/>
      <c r="L395" s="189"/>
      <c r="M395" s="189"/>
      <c r="N395" s="189"/>
      <c r="O395" s="189"/>
      <c r="P395" s="189"/>
      <c r="Q395" s="190"/>
      <c r="R395" s="200" t="s">
        <v>296</v>
      </c>
    </row>
    <row r="396" spans="1:18" x14ac:dyDescent="0.25">
      <c r="A396" s="115"/>
      <c r="B396" s="192"/>
      <c r="C396" s="186" t="s">
        <v>4</v>
      </c>
      <c r="D396" s="187">
        <v>1.1100000000000001</v>
      </c>
      <c r="E396" s="188">
        <v>1.6500000000000001</v>
      </c>
      <c r="F396" s="188">
        <v>0.54</v>
      </c>
      <c r="G396" s="188">
        <v>4</v>
      </c>
      <c r="H396" s="189" t="s">
        <v>44</v>
      </c>
      <c r="I396" s="189"/>
      <c r="J396" s="189"/>
      <c r="K396" s="189"/>
      <c r="L396" s="189"/>
      <c r="M396" s="189"/>
      <c r="N396" s="189"/>
      <c r="O396" s="189"/>
      <c r="P396" s="189"/>
      <c r="Q396" s="190">
        <v>80680100013</v>
      </c>
      <c r="R396" s="190">
        <v>80680100122</v>
      </c>
    </row>
    <row r="397" spans="1:18" ht="34.5" x14ac:dyDescent="0.25">
      <c r="A397" s="54">
        <v>31</v>
      </c>
      <c r="B397" s="185" t="s">
        <v>297</v>
      </c>
      <c r="C397" s="186" t="s">
        <v>4</v>
      </c>
      <c r="D397" s="187">
        <v>0</v>
      </c>
      <c r="E397" s="188">
        <v>0.5</v>
      </c>
      <c r="F397" s="188">
        <v>0.5</v>
      </c>
      <c r="G397" s="188">
        <v>4</v>
      </c>
      <c r="H397" s="189" t="s">
        <v>44</v>
      </c>
      <c r="I397" s="189"/>
      <c r="J397" s="189"/>
      <c r="K397" s="189"/>
      <c r="L397" s="189"/>
      <c r="M397" s="189"/>
      <c r="N397" s="189"/>
      <c r="O397" s="189"/>
      <c r="P397" s="189"/>
      <c r="Q397" s="190">
        <v>80680070526</v>
      </c>
      <c r="R397" s="190">
        <v>80680100141</v>
      </c>
    </row>
    <row r="398" spans="1:18" x14ac:dyDescent="0.25">
      <c r="A398" s="115"/>
      <c r="B398" s="192"/>
      <c r="C398" s="186" t="s">
        <v>4</v>
      </c>
      <c r="D398" s="187">
        <v>0.5</v>
      </c>
      <c r="E398" s="188">
        <v>0.79</v>
      </c>
      <c r="F398" s="188">
        <v>0.28999999999999998</v>
      </c>
      <c r="G398" s="188">
        <v>4</v>
      </c>
      <c r="H398" s="189" t="s">
        <v>44</v>
      </c>
      <c r="I398" s="189"/>
      <c r="J398" s="189"/>
      <c r="K398" s="189"/>
      <c r="L398" s="189"/>
      <c r="M398" s="189"/>
      <c r="N398" s="189"/>
      <c r="O398" s="189"/>
      <c r="P398" s="189"/>
      <c r="Q398" s="190"/>
      <c r="R398" s="200" t="s">
        <v>298</v>
      </c>
    </row>
    <row r="399" spans="1:18" x14ac:dyDescent="0.25">
      <c r="A399" s="115"/>
      <c r="B399" s="192"/>
      <c r="C399" s="186" t="s">
        <v>4</v>
      </c>
      <c r="D399" s="187">
        <v>0.79</v>
      </c>
      <c r="E399" s="188">
        <v>0.9</v>
      </c>
      <c r="F399" s="188">
        <v>0.11</v>
      </c>
      <c r="G399" s="188">
        <v>4</v>
      </c>
      <c r="H399" s="189" t="s">
        <v>44</v>
      </c>
      <c r="I399" s="189"/>
      <c r="J399" s="189"/>
      <c r="K399" s="189"/>
      <c r="L399" s="189"/>
      <c r="M399" s="189"/>
      <c r="N399" s="189"/>
      <c r="O399" s="189"/>
      <c r="P399" s="189"/>
      <c r="Q399" s="190">
        <v>80680070526</v>
      </c>
      <c r="R399" s="190">
        <v>80680100125</v>
      </c>
    </row>
    <row r="400" spans="1:18" x14ac:dyDescent="0.25">
      <c r="A400" s="115"/>
      <c r="B400" s="192"/>
      <c r="C400" s="186" t="s">
        <v>4</v>
      </c>
      <c r="D400" s="187">
        <v>0.9</v>
      </c>
      <c r="E400" s="188">
        <v>1.58</v>
      </c>
      <c r="F400" s="188">
        <v>0.68</v>
      </c>
      <c r="G400" s="188">
        <v>3.7</v>
      </c>
      <c r="H400" s="189" t="s">
        <v>44</v>
      </c>
      <c r="I400" s="189"/>
      <c r="J400" s="189"/>
      <c r="K400" s="189"/>
      <c r="L400" s="189"/>
      <c r="M400" s="189"/>
      <c r="N400" s="189"/>
      <c r="O400" s="189"/>
      <c r="P400" s="189"/>
      <c r="Q400" s="190">
        <v>80680070526</v>
      </c>
      <c r="R400" s="190">
        <v>80680070543</v>
      </c>
    </row>
    <row r="401" spans="1:32" x14ac:dyDescent="0.25">
      <c r="A401" s="115"/>
      <c r="B401" s="192"/>
      <c r="C401" s="186" t="s">
        <v>4</v>
      </c>
      <c r="D401" s="187">
        <v>1.61</v>
      </c>
      <c r="E401" s="188">
        <v>2.66</v>
      </c>
      <c r="F401" s="188">
        <v>1.05</v>
      </c>
      <c r="G401" s="188">
        <v>4</v>
      </c>
      <c r="H401" s="189" t="s">
        <v>44</v>
      </c>
      <c r="I401" s="189"/>
      <c r="J401" s="189"/>
      <c r="K401" s="189"/>
      <c r="L401" s="189"/>
      <c r="M401" s="189"/>
      <c r="N401" s="189"/>
      <c r="O401" s="189"/>
      <c r="P401" s="189"/>
      <c r="Q401" s="190">
        <v>80680070526</v>
      </c>
      <c r="R401" s="190">
        <v>80680070880</v>
      </c>
    </row>
    <row r="402" spans="1:32" x14ac:dyDescent="0.25">
      <c r="A402" s="118"/>
      <c r="B402" s="194"/>
      <c r="C402" s="186" t="s">
        <v>4</v>
      </c>
      <c r="D402" s="187">
        <v>2.66</v>
      </c>
      <c r="E402" s="188">
        <v>2.77</v>
      </c>
      <c r="F402" s="188">
        <v>0.11</v>
      </c>
      <c r="G402" s="188">
        <v>5.8</v>
      </c>
      <c r="H402" s="189" t="s">
        <v>59</v>
      </c>
      <c r="I402" s="189"/>
      <c r="J402" s="189"/>
      <c r="K402" s="189"/>
      <c r="L402" s="189"/>
      <c r="M402" s="189"/>
      <c r="N402" s="189"/>
      <c r="O402" s="189"/>
      <c r="P402" s="189"/>
      <c r="Q402" s="190">
        <v>80680070526</v>
      </c>
      <c r="R402" s="190">
        <v>80680070880</v>
      </c>
    </row>
    <row r="403" spans="1:32" ht="23.25" x14ac:dyDescent="0.25">
      <c r="A403" s="115">
        <v>32</v>
      </c>
      <c r="B403" s="199" t="s">
        <v>299</v>
      </c>
      <c r="C403" s="207" t="s">
        <v>3</v>
      </c>
      <c r="D403" s="188">
        <v>0</v>
      </c>
      <c r="E403" s="188">
        <v>0.26</v>
      </c>
      <c r="F403" s="188">
        <v>0.26</v>
      </c>
      <c r="G403" s="188">
        <v>6</v>
      </c>
      <c r="H403" s="189" t="s">
        <v>59</v>
      </c>
      <c r="I403" s="189"/>
      <c r="J403" s="189"/>
      <c r="K403" s="189"/>
      <c r="L403" s="189"/>
      <c r="M403" s="189"/>
      <c r="N403" s="189"/>
      <c r="O403" s="189"/>
      <c r="P403" s="189"/>
      <c r="Q403" s="190">
        <v>80680070881</v>
      </c>
      <c r="R403" s="190">
        <v>80680070879</v>
      </c>
    </row>
    <row r="404" spans="1:32" ht="23.25" x14ac:dyDescent="0.25">
      <c r="A404" s="54">
        <v>33</v>
      </c>
      <c r="B404" s="201" t="s">
        <v>300</v>
      </c>
      <c r="C404" s="202" t="s">
        <v>4</v>
      </c>
      <c r="D404" s="187">
        <v>0</v>
      </c>
      <c r="E404" s="188">
        <v>0.23</v>
      </c>
      <c r="F404" s="188">
        <v>0.23</v>
      </c>
      <c r="G404" s="188">
        <v>4</v>
      </c>
      <c r="H404" s="189" t="s">
        <v>44</v>
      </c>
      <c r="I404" s="189"/>
      <c r="J404" s="189"/>
      <c r="K404" s="189"/>
      <c r="L404" s="189"/>
      <c r="M404" s="189"/>
      <c r="N404" s="189"/>
      <c r="O404" s="189"/>
      <c r="P404" s="189"/>
      <c r="Q404" s="190"/>
      <c r="R404" s="200" t="s">
        <v>301</v>
      </c>
    </row>
    <row r="405" spans="1:32" x14ac:dyDescent="0.25">
      <c r="A405" s="115"/>
      <c r="B405" s="192"/>
      <c r="C405" s="202" t="s">
        <v>4</v>
      </c>
      <c r="D405" s="187">
        <v>0.23</v>
      </c>
      <c r="E405" s="188">
        <v>0.55000000000000004</v>
      </c>
      <c r="F405" s="188">
        <v>0.32</v>
      </c>
      <c r="G405" s="188">
        <v>4</v>
      </c>
      <c r="H405" s="189" t="s">
        <v>44</v>
      </c>
      <c r="I405" s="189"/>
      <c r="J405" s="189"/>
      <c r="K405" s="189"/>
      <c r="L405" s="189"/>
      <c r="M405" s="189"/>
      <c r="N405" s="189"/>
      <c r="O405" s="189"/>
      <c r="P405" s="189"/>
      <c r="Q405" s="190">
        <v>80680100121</v>
      </c>
      <c r="R405" s="200" t="s">
        <v>302</v>
      </c>
    </row>
    <row r="406" spans="1:32" x14ac:dyDescent="0.25">
      <c r="A406" s="115"/>
      <c r="B406" s="192"/>
      <c r="C406" s="202" t="s">
        <v>4</v>
      </c>
      <c r="D406" s="187">
        <v>0.55000000000000004</v>
      </c>
      <c r="E406" s="188">
        <v>0.83000000000000007</v>
      </c>
      <c r="F406" s="188">
        <v>0.28000000000000003</v>
      </c>
      <c r="G406" s="188">
        <v>3</v>
      </c>
      <c r="H406" s="189" t="s">
        <v>44</v>
      </c>
      <c r="I406" s="189"/>
      <c r="J406" s="189"/>
      <c r="K406" s="189"/>
      <c r="L406" s="189"/>
      <c r="M406" s="189"/>
      <c r="N406" s="189"/>
      <c r="O406" s="189"/>
      <c r="P406" s="189"/>
      <c r="Q406" s="190">
        <v>80680100121</v>
      </c>
      <c r="R406" s="190">
        <v>80680100138</v>
      </c>
    </row>
    <row r="407" spans="1:32" x14ac:dyDescent="0.25">
      <c r="A407" s="118"/>
      <c r="B407" s="194"/>
      <c r="C407" s="202" t="s">
        <v>4</v>
      </c>
      <c r="D407" s="187">
        <v>0.83000000000000007</v>
      </c>
      <c r="E407" s="188">
        <v>1.1700000000000002</v>
      </c>
      <c r="F407" s="188">
        <v>0.34</v>
      </c>
      <c r="G407" s="188">
        <v>3</v>
      </c>
      <c r="H407" s="189" t="s">
        <v>44</v>
      </c>
      <c r="I407" s="189"/>
      <c r="J407" s="189"/>
      <c r="K407" s="189"/>
      <c r="L407" s="189"/>
      <c r="M407" s="189"/>
      <c r="N407" s="189"/>
      <c r="O407" s="189"/>
      <c r="P407" s="189"/>
      <c r="Q407" s="190"/>
      <c r="R407" s="200" t="s">
        <v>303</v>
      </c>
    </row>
    <row r="408" spans="1:32" x14ac:dyDescent="0.25">
      <c r="A408" s="118">
        <v>34</v>
      </c>
      <c r="B408" s="195" t="s">
        <v>304</v>
      </c>
      <c r="C408" s="196" t="s">
        <v>4</v>
      </c>
      <c r="D408" s="188">
        <v>0</v>
      </c>
      <c r="E408" s="188">
        <v>0.48</v>
      </c>
      <c r="F408" s="188">
        <v>0.48</v>
      </c>
      <c r="G408" s="188">
        <v>3.5</v>
      </c>
      <c r="H408" s="189" t="s">
        <v>59</v>
      </c>
      <c r="I408" s="189"/>
      <c r="J408" s="189"/>
      <c r="K408" s="189"/>
      <c r="L408" s="189"/>
      <c r="M408" s="189"/>
      <c r="N408" s="189"/>
      <c r="O408" s="189"/>
      <c r="P408" s="189"/>
      <c r="Q408" s="190">
        <v>80680100193</v>
      </c>
      <c r="R408" s="190">
        <v>80680100121</v>
      </c>
    </row>
    <row r="409" spans="1:32" x14ac:dyDescent="0.25">
      <c r="A409" s="54">
        <v>35</v>
      </c>
      <c r="B409" s="197" t="s">
        <v>305</v>
      </c>
      <c r="C409" s="198" t="s">
        <v>4</v>
      </c>
      <c r="D409" s="188">
        <v>0</v>
      </c>
      <c r="E409" s="188">
        <v>1.41</v>
      </c>
      <c r="F409" s="188">
        <v>1.41</v>
      </c>
      <c r="G409" s="188">
        <v>3.5</v>
      </c>
      <c r="H409" s="189" t="s">
        <v>44</v>
      </c>
      <c r="I409" s="189"/>
      <c r="J409" s="189"/>
      <c r="K409" s="189"/>
      <c r="L409" s="189"/>
      <c r="M409" s="189"/>
      <c r="N409" s="189"/>
      <c r="O409" s="189"/>
      <c r="P409" s="189"/>
      <c r="Q409" s="190">
        <v>80680110086</v>
      </c>
      <c r="R409" s="190">
        <v>80680110086</v>
      </c>
    </row>
    <row r="410" spans="1:32" x14ac:dyDescent="0.25">
      <c r="A410" s="54">
        <v>36</v>
      </c>
      <c r="B410" s="185" t="s">
        <v>306</v>
      </c>
      <c r="C410" s="186" t="s">
        <v>4</v>
      </c>
      <c r="D410" s="187">
        <v>0</v>
      </c>
      <c r="E410" s="188">
        <v>0.09</v>
      </c>
      <c r="F410" s="188">
        <v>0.09</v>
      </c>
      <c r="G410" s="188">
        <v>3</v>
      </c>
      <c r="H410" s="189" t="s">
        <v>44</v>
      </c>
      <c r="I410" s="189"/>
      <c r="J410" s="189"/>
      <c r="K410" s="189"/>
      <c r="L410" s="189"/>
      <c r="M410" s="189"/>
      <c r="N410" s="189"/>
      <c r="O410" s="189"/>
      <c r="P410" s="189"/>
      <c r="Q410" s="190">
        <v>80680110111</v>
      </c>
      <c r="R410" s="190">
        <v>80680110111</v>
      </c>
    </row>
    <row r="411" spans="1:32" x14ac:dyDescent="0.25">
      <c r="A411" s="118"/>
      <c r="B411" s="194"/>
      <c r="C411" s="186" t="s">
        <v>4</v>
      </c>
      <c r="D411" s="187">
        <v>0.09</v>
      </c>
      <c r="E411" s="188">
        <v>0.14000000000000001</v>
      </c>
      <c r="F411" s="188">
        <v>0.05</v>
      </c>
      <c r="G411" s="188">
        <v>3</v>
      </c>
      <c r="H411" s="189" t="s">
        <v>46</v>
      </c>
      <c r="I411" s="189"/>
      <c r="J411" s="189"/>
      <c r="K411" s="189"/>
      <c r="L411" s="189"/>
      <c r="M411" s="189"/>
      <c r="N411" s="189"/>
      <c r="O411" s="189"/>
      <c r="P411" s="189"/>
      <c r="Q411" s="190">
        <v>80680110111</v>
      </c>
      <c r="R411" s="190">
        <v>80680110111</v>
      </c>
      <c r="AA411" t="s">
        <v>70</v>
      </c>
    </row>
    <row r="412" spans="1:32" ht="23.25" x14ac:dyDescent="0.25">
      <c r="C412" s="107"/>
      <c r="K412" s="78" t="s">
        <v>71</v>
      </c>
      <c r="L412" s="81">
        <f>SUM(L329:L411)</f>
        <v>18</v>
      </c>
      <c r="M412" s="81">
        <f>SUM(M329:M411)</f>
        <v>126</v>
      </c>
      <c r="N412" s="80"/>
      <c r="O412" s="78" t="s">
        <v>72</v>
      </c>
      <c r="P412" s="81">
        <f>SUM(P329:P411)</f>
        <v>0</v>
      </c>
      <c r="S412" s="82"/>
      <c r="T412" s="83" t="s">
        <v>73</v>
      </c>
      <c r="U412" s="83" t="s">
        <v>74</v>
      </c>
      <c r="V412" s="83" t="s">
        <v>75</v>
      </c>
      <c r="W412" s="83" t="s">
        <v>76</v>
      </c>
      <c r="X412" s="83" t="s">
        <v>77</v>
      </c>
      <c r="Y412" s="84" t="s">
        <v>72</v>
      </c>
      <c r="Z412" s="82"/>
      <c r="AA412" s="83" t="s">
        <v>73</v>
      </c>
      <c r="AB412" s="83" t="s">
        <v>74</v>
      </c>
      <c r="AC412" s="83" t="s">
        <v>75</v>
      </c>
      <c r="AD412" s="83" t="s">
        <v>76</v>
      </c>
      <c r="AE412" s="83" t="s">
        <v>77</v>
      </c>
      <c r="AF412" s="84" t="s">
        <v>72</v>
      </c>
    </row>
    <row r="413" spans="1:32" s="1" customFormat="1" ht="11.25" x14ac:dyDescent="0.2">
      <c r="A413" s="85" t="s">
        <v>307</v>
      </c>
      <c r="B413" s="86"/>
      <c r="C413" s="86"/>
      <c r="D413" s="87"/>
      <c r="E413" s="87"/>
      <c r="F413" s="81">
        <f>SUM(F329:F411)</f>
        <v>82.270000000000024</v>
      </c>
      <c r="G413" s="88"/>
      <c r="H413" s="89"/>
      <c r="I413" s="27"/>
      <c r="J413" s="90"/>
      <c r="Q413" s="80"/>
      <c r="S413" s="91" t="s">
        <v>38</v>
      </c>
      <c r="T413" s="83" t="s">
        <v>41</v>
      </c>
      <c r="U413" s="83" t="s">
        <v>41</v>
      </c>
      <c r="V413" s="83" t="s">
        <v>41</v>
      </c>
      <c r="W413" s="83" t="s">
        <v>41</v>
      </c>
      <c r="X413" s="83" t="s">
        <v>41</v>
      </c>
      <c r="Y413" s="84" t="s">
        <v>41</v>
      </c>
      <c r="Z413" s="91"/>
      <c r="AA413" s="83" t="s">
        <v>41</v>
      </c>
      <c r="AB413" s="83" t="s">
        <v>41</v>
      </c>
      <c r="AC413" s="83" t="s">
        <v>41</v>
      </c>
      <c r="AD413" s="83" t="s">
        <v>41</v>
      </c>
      <c r="AE413" s="83" t="s">
        <v>41</v>
      </c>
      <c r="AF413" s="84" t="s">
        <v>41</v>
      </c>
    </row>
    <row r="414" spans="1:32" s="1" customFormat="1" ht="11.25" x14ac:dyDescent="0.2">
      <c r="A414" s="92" t="s">
        <v>79</v>
      </c>
      <c r="B414" s="93"/>
      <c r="C414" s="93"/>
      <c r="D414" s="94"/>
      <c r="E414" s="94"/>
      <c r="F414" s="169">
        <f>SUMIFS(F329:F411,H329:H411,"melnais")</f>
        <v>4.4500000000000011</v>
      </c>
      <c r="G414" s="168"/>
      <c r="H414" s="97"/>
      <c r="I414" s="98"/>
      <c r="J414" s="80"/>
      <c r="K414" s="80"/>
      <c r="L414" s="99"/>
      <c r="M414" s="99"/>
      <c r="N414" s="80"/>
      <c r="O414" s="80"/>
      <c r="P414" s="80"/>
      <c r="Q414" s="80"/>
      <c r="S414" s="100" t="s">
        <v>1</v>
      </c>
      <c r="T414" s="101">
        <f>SUMIFS(F329:F411,C329:C411,"A",H329:H411,"melnais")</f>
        <v>0</v>
      </c>
      <c r="U414" s="101">
        <f>SUMIFS(F329:F411,C329:C411,"A",H329:H411,"dubultā virsma")</f>
        <v>0</v>
      </c>
      <c r="V414" s="101">
        <f>SUMIFS(F329:F411,C329:C411,"A",H329:H411,"bruģis")</f>
        <v>0</v>
      </c>
      <c r="W414" s="101">
        <f>SUMIFS(F329:F411,C329:C411,"A",H329:H411,"grants")</f>
        <v>0</v>
      </c>
      <c r="X414" s="101">
        <f>SUMIFS(F329:F411,C329:C411,"A",H329:H411,"cits segums")</f>
        <v>0</v>
      </c>
      <c r="Y414" s="101">
        <f>SUM(T414:X414)</f>
        <v>0</v>
      </c>
      <c r="Z414" s="100" t="s">
        <v>1</v>
      </c>
      <c r="AA414" s="102">
        <f>SUMIFS(F338:F411,C338:C411,"A",H338:H411,"melnais", Q338:Q411,"Nepiederošs")</f>
        <v>0</v>
      </c>
      <c r="AB414" s="102">
        <f>SUMIFS(F338:F411,C338:C411,"A",H338:H411,"dubultā virsma", Q338:Q411,"Nepiederošs")</f>
        <v>0</v>
      </c>
      <c r="AC414" s="102">
        <f>SUMIFS(F338:F411,C338:C411,"A",H338:H411,"bruģis", Q338:Q411,"Nepiederošs")</f>
        <v>0</v>
      </c>
      <c r="AD414" s="102">
        <f>SUMIFS(F338:F411,C338:C411,"A",H338:H411,"grants", Q338:Q411,"Nepiederošs")</f>
        <v>0</v>
      </c>
      <c r="AE414" s="102">
        <f>SUMIFS(F338:F411,C338:C411,"A",H338:H411,"cits segums", Q338:Q411,"Nepiederošs")</f>
        <v>0</v>
      </c>
      <c r="AF414" s="102">
        <f>SUM(AA414:AE414)</f>
        <v>0</v>
      </c>
    </row>
    <row r="415" spans="1:32" s="1" customFormat="1" ht="11.25" x14ac:dyDescent="0.2">
      <c r="A415" s="92" t="s">
        <v>80</v>
      </c>
      <c r="B415" s="93"/>
      <c r="C415" s="93"/>
      <c r="D415" s="94"/>
      <c r="E415" s="94"/>
      <c r="F415" s="169">
        <f>SUMIFS(F329:F411,H329:H411,"bruģis")</f>
        <v>0</v>
      </c>
      <c r="G415" s="168"/>
      <c r="H415" s="27"/>
      <c r="I415" s="27"/>
      <c r="J415" s="80"/>
      <c r="K415" s="103"/>
      <c r="L415" s="103"/>
      <c r="M415" s="103"/>
      <c r="N415" s="80"/>
      <c r="O415" s="80"/>
      <c r="P415" s="80"/>
      <c r="Q415" s="80"/>
      <c r="S415" s="104" t="s">
        <v>2</v>
      </c>
      <c r="T415" s="101">
        <f>SUMIFS(F329:F411,C329:C411,"B",H329:H411,"melnais")</f>
        <v>0</v>
      </c>
      <c r="U415" s="101">
        <f>SUMIFS(F329:F411,C329:C411,"B",H329:H411,"dubultā virsma")</f>
        <v>0</v>
      </c>
      <c r="V415" s="101">
        <f>SUMIFS(F329:F411,C329:C411,"B",H329:H411,"bruģis")</f>
        <v>0</v>
      </c>
      <c r="W415" s="101">
        <f>SUMIFS(F329:F411,C329:C411,"B",H329:H411,"grants")</f>
        <v>0</v>
      </c>
      <c r="X415" s="101">
        <f>SUMIFS(F329:F411,C329:C411,"B",H329:H411,"cits segums")</f>
        <v>0</v>
      </c>
      <c r="Y415" s="101">
        <f t="shared" ref="Y415:Y417" si="27">SUM(T415:X415)</f>
        <v>0</v>
      </c>
      <c r="Z415" s="104" t="s">
        <v>2</v>
      </c>
      <c r="AA415" s="102">
        <f>SUMIFS(F338:F411,C338:C411,"B",H338:H411,"melnais", Q338:Q411,"Nepiederošs")</f>
        <v>0</v>
      </c>
      <c r="AB415" s="102">
        <f>SUMIFS(F338:F411,C338:C411,"B",H338:H411,"dubultā virsma", Q338:Q411,"Nepiederošs")</f>
        <v>0</v>
      </c>
      <c r="AC415" s="102">
        <f>SUMIFS(F338:F411,C338:C411,"B",H338:H411,"bruģis", Q338:Q411,"Nepiederošs")</f>
        <v>0</v>
      </c>
      <c r="AD415" s="102">
        <f>SUMIFS(F338:F411,C338:C411,"B",H338:H411,"grants", Q338:Q411,"Nepiederošs")</f>
        <v>0</v>
      </c>
      <c r="AE415" s="102">
        <f>SUMIFS(F338:F411,C338:C411,"B",H338:H411,"cits segums", Q338:Q411,"Nepiederošs")</f>
        <v>0</v>
      </c>
      <c r="AF415" s="102">
        <f t="shared" ref="AF415:AF417" si="28">SUM(AA415:AE415)</f>
        <v>0</v>
      </c>
    </row>
    <row r="416" spans="1:32" s="1" customFormat="1" ht="11.25" x14ac:dyDescent="0.2">
      <c r="A416" s="92" t="s">
        <v>81</v>
      </c>
      <c r="B416" s="93"/>
      <c r="C416" s="93"/>
      <c r="D416" s="94"/>
      <c r="E416" s="94"/>
      <c r="F416" s="169">
        <f>SUMIFS(F329:F411,H329:H411,"grants")</f>
        <v>77.650000000000034</v>
      </c>
      <c r="G416" s="168"/>
      <c r="H416" s="27"/>
      <c r="I416" s="27"/>
      <c r="J416" s="80"/>
      <c r="K416" s="103"/>
      <c r="L416" s="103"/>
      <c r="M416" s="103"/>
      <c r="N416" s="80"/>
      <c r="O416" s="80"/>
      <c r="P416" s="80"/>
      <c r="Q416" s="80"/>
      <c r="S416" s="105" t="s">
        <v>3</v>
      </c>
      <c r="T416" s="101">
        <f>SUMIFS(F329:F411,C329:C411,"C",H329:H411,"melnais")</f>
        <v>2.62</v>
      </c>
      <c r="U416" s="101">
        <f>SUMIFS(F329:F411,C329:C411,"C",H329:H411,"dubultā virsma")</f>
        <v>0</v>
      </c>
      <c r="V416" s="101">
        <f>SUMIFS(F329:F411,C329:C411,"C",H329:H411,"bruģis")</f>
        <v>0</v>
      </c>
      <c r="W416" s="101">
        <f>SUMIFS(F329:F411,C329:C411,"C",H329:H411,"grants")</f>
        <v>16.87</v>
      </c>
      <c r="X416" s="101">
        <f>SUMIFS(F329:F411,C329:C411,"C",H329:H411,"cits segums")</f>
        <v>0</v>
      </c>
      <c r="Y416" s="101">
        <f t="shared" si="27"/>
        <v>19.490000000000002</v>
      </c>
      <c r="Z416" s="105" t="s">
        <v>3</v>
      </c>
      <c r="AA416" s="102">
        <f>SUMIFS(F338:F411,C338:C411,"C",H338:H411,"melnais", Q338:Q411,"Nepiederošs")</f>
        <v>0</v>
      </c>
      <c r="AB416" s="102">
        <f>SUMIFS(F338:F411,C338:C411,"C",H338:H411,"dubultā virsma", Q338:Q411,"Nepiederošs")</f>
        <v>0</v>
      </c>
      <c r="AC416" s="102">
        <f>SUMIFS(F338:F411,C338:C411,"C",H338:H411,"bruģis", Q338:Q411,"Nepiederošs")</f>
        <v>0</v>
      </c>
      <c r="AD416" s="102">
        <f>SUMIFS(F338:F411,C338:C411,"C",H338:H411,"grants", Q338:Q411,"Nepiederošs")</f>
        <v>0</v>
      </c>
      <c r="AE416" s="102">
        <f>SUMIFS(F338:F411,C338:C411,"C",H338:H411,"cits segums", Q338:Q411,"Nepiederošs")</f>
        <v>0</v>
      </c>
      <c r="AF416" s="102">
        <f t="shared" si="28"/>
        <v>0</v>
      </c>
    </row>
    <row r="417" spans="1:32" s="1" customFormat="1" ht="11.25" x14ac:dyDescent="0.2">
      <c r="A417" s="92" t="s">
        <v>82</v>
      </c>
      <c r="B417" s="93"/>
      <c r="C417" s="93"/>
      <c r="D417" s="94"/>
      <c r="E417" s="94"/>
      <c r="F417" s="169">
        <f>SUMIFS(F329:F411,H329:H411,"cits segums")</f>
        <v>0.16999999999999998</v>
      </c>
      <c r="G417" s="168"/>
      <c r="H417" s="98"/>
      <c r="I417" s="27"/>
      <c r="J417" s="106"/>
      <c r="K417" s="103"/>
      <c r="L417" s="103"/>
      <c r="M417" s="103"/>
      <c r="N417" s="80"/>
      <c r="O417" s="80"/>
      <c r="P417" s="80"/>
      <c r="Q417" s="80"/>
      <c r="S417" s="100" t="s">
        <v>4</v>
      </c>
      <c r="T417" s="101">
        <f>SUMIFS(F329:F411,C329:C411,"D",H329:H411,"melnais")</f>
        <v>1.8300000000000003</v>
      </c>
      <c r="U417" s="101">
        <f>SUMIFS(F329:F411,C329:C411,"D",H329:H411,"dubultā virsma")</f>
        <v>0</v>
      </c>
      <c r="V417" s="101">
        <f>SUMIFS(F329:F411,C329:C411,"D",H329:H411,"bruģis")</f>
        <v>0</v>
      </c>
      <c r="W417" s="101">
        <f>SUMIFS(F329:F411,C329:C411,"D",H329:H411,"grants")</f>
        <v>60.78</v>
      </c>
      <c r="X417" s="101">
        <f>SUMIFS(F329:F411,C329:C411,"D",H329:H411,"cits segums")</f>
        <v>0.16999999999999998</v>
      </c>
      <c r="Y417" s="101">
        <f t="shared" si="27"/>
        <v>62.78</v>
      </c>
      <c r="Z417" s="100" t="s">
        <v>4</v>
      </c>
      <c r="AA417" s="102">
        <f>SUMIFS(F338:F411,C338:C411,"D",H338:H411,"melnais", Q338:Q411,"Nepiederošs")</f>
        <v>0</v>
      </c>
      <c r="AB417" s="102">
        <f>SUMIFS(F338:F411,C338:C411,"D",H338:H411,"dubultā virsma", Q338:Q411,"Nepiederošs")</f>
        <v>0</v>
      </c>
      <c r="AC417" s="102">
        <f>SUMIFS(F338:F411,C338:C411,"D",H338:H411,"bruģis", Q338:Q411,"Nepiederošs")</f>
        <v>0</v>
      </c>
      <c r="AD417" s="102">
        <f>SUMIFS(F338:F411,C338:C411,"D",H338:H411,"grants", Q338:Q411,"Nepiederošs")</f>
        <v>0.2</v>
      </c>
      <c r="AE417" s="102">
        <f>SUMIFS(F338:F411,C338:C411,"D",H338:H411,"cits segums", Q338:Q411,"Nepiederošs")</f>
        <v>0</v>
      </c>
      <c r="AF417" s="102">
        <f t="shared" si="28"/>
        <v>0.2</v>
      </c>
    </row>
    <row r="418" spans="1:32" x14ac:dyDescent="0.25">
      <c r="C418" s="107"/>
      <c r="T418" s="108">
        <f>SUM(T414:T417)</f>
        <v>4.45</v>
      </c>
      <c r="U418" s="108">
        <f t="shared" ref="U418:Y418" si="29">SUM(U414:U417)</f>
        <v>0</v>
      </c>
      <c r="V418" s="108">
        <f t="shared" si="29"/>
        <v>0</v>
      </c>
      <c r="W418" s="108">
        <f t="shared" si="29"/>
        <v>77.650000000000006</v>
      </c>
      <c r="X418" s="108">
        <f t="shared" si="29"/>
        <v>0.16999999999999998</v>
      </c>
      <c r="Y418" s="108">
        <f t="shared" si="29"/>
        <v>82.27000000000001</v>
      </c>
      <c r="AA418" s="109">
        <f>SUM(AA414:AA417)</f>
        <v>0</v>
      </c>
      <c r="AB418" s="109">
        <f t="shared" ref="AB418" si="30">SUM(AB414:AB417)</f>
        <v>0</v>
      </c>
      <c r="AC418" s="109">
        <f>SUM(AC414:AC417)</f>
        <v>0</v>
      </c>
      <c r="AD418" s="109">
        <f t="shared" ref="AD418:AF418" si="31">SUM(AD414:AD417)</f>
        <v>0.2</v>
      </c>
      <c r="AE418" s="109">
        <f t="shared" si="31"/>
        <v>0</v>
      </c>
      <c r="AF418" s="109">
        <f t="shared" si="31"/>
        <v>0.2</v>
      </c>
    </row>
    <row r="419" spans="1:32" s="6" customFormat="1" ht="15" customHeight="1" x14ac:dyDescent="0.25">
      <c r="A419" s="16"/>
      <c r="B419" s="16"/>
      <c r="C419" s="16"/>
      <c r="D419" s="17" t="s">
        <v>308</v>
      </c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8"/>
      <c r="R419" s="19"/>
    </row>
    <row r="420" spans="1:32" s="6" customFormat="1" ht="11.25" x14ac:dyDescent="0.25">
      <c r="A420" s="16"/>
      <c r="B420" s="16"/>
      <c r="C420" s="16"/>
      <c r="D420" s="25"/>
      <c r="E420" s="25"/>
      <c r="F420" s="25"/>
      <c r="G420" s="25"/>
      <c r="H420" s="18"/>
      <c r="I420" s="16"/>
      <c r="J420" s="16"/>
      <c r="K420" s="16"/>
      <c r="L420" s="16"/>
      <c r="M420" s="16"/>
      <c r="N420" s="26"/>
      <c r="O420" s="26"/>
      <c r="P420" s="16"/>
      <c r="Q420" s="16"/>
      <c r="R420" s="19"/>
    </row>
    <row r="421" spans="1:32" s="27" customFormat="1" ht="5.25" customHeight="1" x14ac:dyDescent="0.2">
      <c r="C421" s="26"/>
    </row>
    <row r="422" spans="1:32" s="27" customFormat="1" ht="12.75" customHeight="1" x14ac:dyDescent="0.2">
      <c r="A422" s="28" t="s">
        <v>19</v>
      </c>
      <c r="B422" s="29" t="s">
        <v>20</v>
      </c>
      <c r="C422" s="30"/>
      <c r="D422" s="31" t="s">
        <v>21</v>
      </c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3"/>
      <c r="Q422" s="34" t="s">
        <v>22</v>
      </c>
      <c r="R422" s="35"/>
    </row>
    <row r="423" spans="1:32" s="27" customFormat="1" ht="12.75" customHeight="1" x14ac:dyDescent="0.2">
      <c r="A423" s="28"/>
      <c r="B423" s="36"/>
      <c r="C423" s="37"/>
      <c r="D423" s="38" t="s">
        <v>23</v>
      </c>
      <c r="E423" s="38"/>
      <c r="F423" s="38"/>
      <c r="G423" s="38"/>
      <c r="H423" s="38"/>
      <c r="I423" s="39" t="s">
        <v>24</v>
      </c>
      <c r="J423" s="39"/>
      <c r="K423" s="39"/>
      <c r="L423" s="39"/>
      <c r="M423" s="39"/>
      <c r="N423" s="39"/>
      <c r="O423" s="39"/>
      <c r="P423" s="40" t="s">
        <v>25</v>
      </c>
      <c r="Q423" s="41"/>
      <c r="R423" s="42"/>
    </row>
    <row r="424" spans="1:32" s="27" customFormat="1" ht="15.2" customHeight="1" x14ac:dyDescent="0.2">
      <c r="A424" s="28"/>
      <c r="B424" s="36"/>
      <c r="C424" s="37"/>
      <c r="D424" s="38" t="s">
        <v>26</v>
      </c>
      <c r="E424" s="38"/>
      <c r="F424" s="28" t="s">
        <v>27</v>
      </c>
      <c r="G424" s="28" t="s">
        <v>28</v>
      </c>
      <c r="H424" s="28" t="s">
        <v>29</v>
      </c>
      <c r="I424" s="39" t="s">
        <v>30</v>
      </c>
      <c r="J424" s="39" t="s">
        <v>31</v>
      </c>
      <c r="K424" s="39"/>
      <c r="L424" s="43" t="s">
        <v>32</v>
      </c>
      <c r="M424" s="43" t="s">
        <v>33</v>
      </c>
      <c r="N424" s="43" t="s">
        <v>34</v>
      </c>
      <c r="O424" s="43" t="s">
        <v>35</v>
      </c>
      <c r="P424" s="44"/>
      <c r="Q424" s="44" t="s">
        <v>36</v>
      </c>
      <c r="R424" s="36" t="s">
        <v>37</v>
      </c>
    </row>
    <row r="425" spans="1:32" s="27" customFormat="1" ht="59.25" customHeight="1" x14ac:dyDescent="0.2">
      <c r="A425" s="28"/>
      <c r="B425" s="45"/>
      <c r="C425" s="46" t="s">
        <v>38</v>
      </c>
      <c r="D425" s="47" t="s">
        <v>39</v>
      </c>
      <c r="E425" s="47" t="s">
        <v>40</v>
      </c>
      <c r="F425" s="28"/>
      <c r="G425" s="28"/>
      <c r="H425" s="28"/>
      <c r="I425" s="39"/>
      <c r="J425" s="48" t="s">
        <v>41</v>
      </c>
      <c r="K425" s="48" t="s">
        <v>42</v>
      </c>
      <c r="L425" s="43"/>
      <c r="M425" s="43"/>
      <c r="N425" s="43"/>
      <c r="O425" s="43"/>
      <c r="P425" s="49"/>
      <c r="Q425" s="49"/>
      <c r="R425" s="45"/>
    </row>
    <row r="426" spans="1:32" s="111" customFormat="1" ht="12" customHeight="1" x14ac:dyDescent="0.25">
      <c r="A426" s="126">
        <v>1</v>
      </c>
      <c r="B426" s="126">
        <v>2</v>
      </c>
      <c r="C426" s="126"/>
      <c r="D426" s="126">
        <v>3</v>
      </c>
      <c r="E426" s="126">
        <v>4</v>
      </c>
      <c r="F426" s="126">
        <v>5</v>
      </c>
      <c r="G426" s="50">
        <v>5.0999999999999996</v>
      </c>
      <c r="H426" s="126">
        <v>6</v>
      </c>
      <c r="I426" s="161">
        <v>7</v>
      </c>
      <c r="J426" s="161">
        <v>8</v>
      </c>
      <c r="K426" s="161">
        <v>9</v>
      </c>
      <c r="L426" s="161">
        <v>10</v>
      </c>
      <c r="M426" s="161">
        <v>11</v>
      </c>
      <c r="N426" s="161">
        <v>12</v>
      </c>
      <c r="O426" s="161">
        <v>13</v>
      </c>
      <c r="P426" s="161">
        <v>14</v>
      </c>
      <c r="Q426" s="161">
        <v>15</v>
      </c>
      <c r="R426" s="126">
        <v>16</v>
      </c>
    </row>
    <row r="427" spans="1:32" x14ac:dyDescent="0.25">
      <c r="A427" s="61">
        <v>1</v>
      </c>
      <c r="B427" s="208" t="s">
        <v>309</v>
      </c>
      <c r="C427" s="209" t="s">
        <v>4</v>
      </c>
      <c r="D427" s="188">
        <v>0</v>
      </c>
      <c r="E427" s="188">
        <v>1.73</v>
      </c>
      <c r="F427" s="188">
        <v>1.73</v>
      </c>
      <c r="G427" s="188">
        <v>4</v>
      </c>
      <c r="H427" s="189" t="s">
        <v>44</v>
      </c>
      <c r="I427" s="190"/>
      <c r="J427" s="190"/>
      <c r="K427" s="190"/>
      <c r="L427" s="190"/>
      <c r="M427" s="190"/>
      <c r="N427" s="190"/>
      <c r="O427" s="190"/>
      <c r="P427" s="190"/>
      <c r="Q427" s="190">
        <v>66560010242</v>
      </c>
      <c r="R427" s="190">
        <v>66560010242</v>
      </c>
    </row>
    <row r="428" spans="1:32" x14ac:dyDescent="0.25">
      <c r="A428" s="61">
        <v>2</v>
      </c>
      <c r="B428" s="210" t="s">
        <v>310</v>
      </c>
      <c r="C428" s="211" t="s">
        <v>4</v>
      </c>
      <c r="D428" s="188">
        <v>0</v>
      </c>
      <c r="E428" s="188">
        <v>0.25</v>
      </c>
      <c r="F428" s="188">
        <v>0.25</v>
      </c>
      <c r="G428" s="188">
        <v>4</v>
      </c>
      <c r="H428" s="189" t="s">
        <v>44</v>
      </c>
      <c r="I428" s="190"/>
      <c r="J428" s="190"/>
      <c r="K428" s="190"/>
      <c r="L428" s="190"/>
      <c r="M428" s="190"/>
      <c r="N428" s="190"/>
      <c r="O428" s="190"/>
      <c r="P428" s="190"/>
      <c r="Q428" s="190">
        <v>66560010240</v>
      </c>
      <c r="R428" s="190">
        <v>66560010240</v>
      </c>
    </row>
    <row r="429" spans="1:32" x14ac:dyDescent="0.25">
      <c r="A429" s="61">
        <v>3</v>
      </c>
      <c r="B429" s="208" t="s">
        <v>311</v>
      </c>
      <c r="C429" s="209" t="s">
        <v>4</v>
      </c>
      <c r="D429" s="188">
        <v>0</v>
      </c>
      <c r="E429" s="188">
        <v>0.17</v>
      </c>
      <c r="F429" s="188">
        <v>0.17</v>
      </c>
      <c r="G429" s="188">
        <v>5</v>
      </c>
      <c r="H429" s="189" t="s">
        <v>44</v>
      </c>
      <c r="I429" s="190"/>
      <c r="J429" s="190"/>
      <c r="K429" s="190"/>
      <c r="L429" s="190"/>
      <c r="M429" s="190"/>
      <c r="N429" s="190"/>
      <c r="O429" s="190"/>
      <c r="P429" s="190"/>
      <c r="Q429" s="190">
        <v>66560010276</v>
      </c>
      <c r="R429" s="190">
        <v>66560010276</v>
      </c>
    </row>
    <row r="430" spans="1:32" x14ac:dyDescent="0.25">
      <c r="A430" s="61">
        <v>4</v>
      </c>
      <c r="B430" s="208" t="s">
        <v>312</v>
      </c>
      <c r="C430" s="209" t="s">
        <v>4</v>
      </c>
      <c r="D430" s="188">
        <v>0</v>
      </c>
      <c r="E430" s="188">
        <v>5.79</v>
      </c>
      <c r="F430" s="188">
        <v>5.79</v>
      </c>
      <c r="G430" s="188">
        <v>4.5</v>
      </c>
      <c r="H430" s="189" t="s">
        <v>44</v>
      </c>
      <c r="I430" s="190"/>
      <c r="J430" s="190"/>
      <c r="K430" s="190"/>
      <c r="L430" s="190"/>
      <c r="M430" s="190"/>
      <c r="N430" s="190"/>
      <c r="O430" s="190"/>
      <c r="P430" s="190"/>
      <c r="Q430" s="190">
        <v>66560010238</v>
      </c>
      <c r="R430" s="190">
        <v>66560010238</v>
      </c>
    </row>
    <row r="431" spans="1:32" x14ac:dyDescent="0.25">
      <c r="A431" s="61">
        <v>5</v>
      </c>
      <c r="B431" s="192" t="s">
        <v>313</v>
      </c>
      <c r="C431" s="212" t="s">
        <v>4</v>
      </c>
      <c r="D431" s="188">
        <v>0.64</v>
      </c>
      <c r="E431" s="188">
        <v>6.16</v>
      </c>
      <c r="F431" s="188">
        <v>5.52</v>
      </c>
      <c r="G431" s="188">
        <v>4.2</v>
      </c>
      <c r="H431" s="189" t="s">
        <v>44</v>
      </c>
      <c r="I431" s="190"/>
      <c r="J431" s="190"/>
      <c r="K431" s="190"/>
      <c r="L431" s="190"/>
      <c r="M431" s="190"/>
      <c r="N431" s="190"/>
      <c r="O431" s="190"/>
      <c r="P431" s="190"/>
      <c r="Q431" s="190">
        <v>66560020553</v>
      </c>
      <c r="R431" s="190">
        <v>66560020553</v>
      </c>
    </row>
    <row r="432" spans="1:32" x14ac:dyDescent="0.25">
      <c r="A432" s="61">
        <v>6</v>
      </c>
      <c r="B432" s="208" t="s">
        <v>314</v>
      </c>
      <c r="C432" s="209" t="s">
        <v>4</v>
      </c>
      <c r="D432" s="188">
        <v>0</v>
      </c>
      <c r="E432" s="188">
        <v>0.37</v>
      </c>
      <c r="F432" s="188">
        <v>0.37</v>
      </c>
      <c r="G432" s="188">
        <v>5.7</v>
      </c>
      <c r="H432" s="189" t="s">
        <v>44</v>
      </c>
      <c r="I432" s="190"/>
      <c r="J432" s="190"/>
      <c r="K432" s="190"/>
      <c r="L432" s="190"/>
      <c r="M432" s="190"/>
      <c r="N432" s="190"/>
      <c r="O432" s="190"/>
      <c r="P432" s="190"/>
      <c r="Q432" s="190">
        <v>66560020619</v>
      </c>
      <c r="R432" s="190">
        <v>66560020619</v>
      </c>
    </row>
    <row r="433" spans="1:18" x14ac:dyDescent="0.25">
      <c r="A433" s="61">
        <v>7</v>
      </c>
      <c r="B433" s="208" t="s">
        <v>315</v>
      </c>
      <c r="C433" s="209" t="s">
        <v>4</v>
      </c>
      <c r="D433" s="188">
        <v>0</v>
      </c>
      <c r="E433" s="188">
        <v>1.1200000000000001</v>
      </c>
      <c r="F433" s="188">
        <v>1.1200000000000001</v>
      </c>
      <c r="G433" s="188">
        <v>4.3</v>
      </c>
      <c r="H433" s="189" t="s">
        <v>44</v>
      </c>
      <c r="I433" s="190"/>
      <c r="J433" s="190"/>
      <c r="K433" s="190"/>
      <c r="L433" s="190"/>
      <c r="M433" s="190"/>
      <c r="N433" s="190"/>
      <c r="O433" s="190"/>
      <c r="P433" s="190"/>
      <c r="Q433" s="190">
        <v>66560020373</v>
      </c>
      <c r="R433" s="190">
        <v>66560020373</v>
      </c>
    </row>
    <row r="434" spans="1:18" x14ac:dyDescent="0.25">
      <c r="A434" s="61">
        <v>8</v>
      </c>
      <c r="B434" s="208" t="s">
        <v>316</v>
      </c>
      <c r="C434" s="209" t="s">
        <v>4</v>
      </c>
      <c r="D434" s="188">
        <v>0</v>
      </c>
      <c r="E434" s="188">
        <v>0.8</v>
      </c>
      <c r="F434" s="188">
        <v>0.8</v>
      </c>
      <c r="G434" s="188">
        <v>4.5</v>
      </c>
      <c r="H434" s="189" t="s">
        <v>44</v>
      </c>
      <c r="I434" s="190"/>
      <c r="J434" s="190"/>
      <c r="K434" s="190"/>
      <c r="L434" s="190"/>
      <c r="M434" s="190"/>
      <c r="N434" s="190"/>
      <c r="O434" s="190"/>
      <c r="P434" s="190"/>
      <c r="Q434" s="190">
        <v>66560040064</v>
      </c>
      <c r="R434" s="190">
        <v>66560040064</v>
      </c>
    </row>
    <row r="435" spans="1:18" x14ac:dyDescent="0.25">
      <c r="A435" s="61">
        <v>9</v>
      </c>
      <c r="B435" s="208" t="s">
        <v>317</v>
      </c>
      <c r="C435" s="209" t="s">
        <v>4</v>
      </c>
      <c r="D435" s="188">
        <v>0</v>
      </c>
      <c r="E435" s="188">
        <v>1.23</v>
      </c>
      <c r="F435" s="188">
        <v>1.23</v>
      </c>
      <c r="G435" s="188">
        <v>4</v>
      </c>
      <c r="H435" s="189" t="s">
        <v>44</v>
      </c>
      <c r="I435" s="190"/>
      <c r="J435" s="190"/>
      <c r="K435" s="190"/>
      <c r="L435" s="190"/>
      <c r="M435" s="190"/>
      <c r="N435" s="190"/>
      <c r="O435" s="190"/>
      <c r="P435" s="190"/>
      <c r="Q435" s="190">
        <v>66560040063</v>
      </c>
      <c r="R435" s="190">
        <v>66560040063</v>
      </c>
    </row>
    <row r="436" spans="1:18" ht="22.5" x14ac:dyDescent="0.25">
      <c r="A436" s="61">
        <v>10</v>
      </c>
      <c r="B436" s="213" t="s">
        <v>318</v>
      </c>
      <c r="C436" s="209" t="s">
        <v>4</v>
      </c>
      <c r="D436" s="214">
        <v>0</v>
      </c>
      <c r="E436" s="214">
        <v>1.6500000000000001</v>
      </c>
      <c r="F436" s="214">
        <v>1.6400000000000001</v>
      </c>
      <c r="G436" s="214">
        <v>4.5</v>
      </c>
      <c r="H436" s="215" t="s">
        <v>44</v>
      </c>
      <c r="I436" s="216" t="s">
        <v>319</v>
      </c>
      <c r="J436" s="217">
        <v>0.98</v>
      </c>
      <c r="K436" s="186" t="s">
        <v>320</v>
      </c>
      <c r="L436" s="216">
        <v>12</v>
      </c>
      <c r="M436" s="216">
        <v>82</v>
      </c>
      <c r="N436" s="216"/>
      <c r="O436" s="216" t="s">
        <v>257</v>
      </c>
      <c r="P436" s="216"/>
      <c r="Q436" s="216">
        <v>66560020557</v>
      </c>
      <c r="R436" s="216">
        <v>66560020557</v>
      </c>
    </row>
    <row r="437" spans="1:18" x14ac:dyDescent="0.25">
      <c r="A437" s="61">
        <v>11</v>
      </c>
      <c r="B437" s="210" t="s">
        <v>321</v>
      </c>
      <c r="C437" s="211" t="s">
        <v>4</v>
      </c>
      <c r="D437" s="188">
        <v>0</v>
      </c>
      <c r="E437" s="188">
        <v>2.1</v>
      </c>
      <c r="F437" s="188">
        <v>2.1</v>
      </c>
      <c r="G437" s="188">
        <v>4.2</v>
      </c>
      <c r="H437" s="189" t="s">
        <v>44</v>
      </c>
      <c r="I437" s="190"/>
      <c r="J437" s="190"/>
      <c r="K437" s="190"/>
      <c r="L437" s="190"/>
      <c r="M437" s="190"/>
      <c r="N437" s="190"/>
      <c r="O437" s="190"/>
      <c r="P437" s="190"/>
      <c r="Q437" s="190">
        <v>66560020556</v>
      </c>
      <c r="R437" s="190">
        <v>66560020556</v>
      </c>
    </row>
    <row r="438" spans="1:18" x14ac:dyDescent="0.25">
      <c r="A438" s="54">
        <v>12</v>
      </c>
      <c r="B438" s="208" t="s">
        <v>322</v>
      </c>
      <c r="C438" s="218" t="s">
        <v>4</v>
      </c>
      <c r="D438" s="188">
        <v>0</v>
      </c>
      <c r="E438" s="188">
        <v>1.76</v>
      </c>
      <c r="F438" s="188">
        <v>1.76</v>
      </c>
      <c r="G438" s="188">
        <v>4.5</v>
      </c>
      <c r="H438" s="189" t="s">
        <v>44</v>
      </c>
      <c r="I438" s="190"/>
      <c r="J438" s="190"/>
      <c r="K438" s="190"/>
      <c r="L438" s="190"/>
      <c r="M438" s="190"/>
      <c r="N438" s="190"/>
      <c r="O438" s="190"/>
      <c r="P438" s="190"/>
      <c r="Q438" s="190">
        <v>66560050103</v>
      </c>
      <c r="R438" s="190">
        <v>66560050103</v>
      </c>
    </row>
    <row r="439" spans="1:18" x14ac:dyDescent="0.25">
      <c r="A439" s="54">
        <v>13</v>
      </c>
      <c r="B439" s="210" t="s">
        <v>323</v>
      </c>
      <c r="C439" s="218" t="s">
        <v>4</v>
      </c>
      <c r="D439" s="188">
        <v>0</v>
      </c>
      <c r="E439" s="188">
        <v>0.18</v>
      </c>
      <c r="F439" s="188">
        <v>0.18</v>
      </c>
      <c r="G439" s="188">
        <v>3.8</v>
      </c>
      <c r="H439" s="189" t="s">
        <v>59</v>
      </c>
      <c r="I439" s="190"/>
      <c r="J439" s="190"/>
      <c r="K439" s="190"/>
      <c r="L439" s="190"/>
      <c r="M439" s="190"/>
      <c r="N439" s="190"/>
      <c r="O439" s="190"/>
      <c r="P439" s="190"/>
      <c r="Q439" s="190">
        <v>66560050099</v>
      </c>
      <c r="R439" s="190">
        <v>66560050099</v>
      </c>
    </row>
    <row r="440" spans="1:18" x14ac:dyDescent="0.25">
      <c r="A440" s="118"/>
      <c r="B440" s="210"/>
      <c r="C440" s="218" t="s">
        <v>4</v>
      </c>
      <c r="D440" s="188">
        <v>0.18</v>
      </c>
      <c r="E440" s="188">
        <v>0.84000000000000008</v>
      </c>
      <c r="F440" s="188">
        <v>0.66</v>
      </c>
      <c r="G440" s="188">
        <v>3</v>
      </c>
      <c r="H440" s="189" t="s">
        <v>46</v>
      </c>
      <c r="I440" s="190"/>
      <c r="J440" s="190"/>
      <c r="K440" s="190"/>
      <c r="L440" s="190"/>
      <c r="M440" s="190"/>
      <c r="N440" s="190"/>
      <c r="O440" s="190"/>
      <c r="P440" s="190"/>
      <c r="Q440" s="190">
        <v>66560050099</v>
      </c>
      <c r="R440" s="190">
        <v>66560050099</v>
      </c>
    </row>
    <row r="441" spans="1:18" x14ac:dyDescent="0.25">
      <c r="A441" s="118">
        <v>14</v>
      </c>
      <c r="B441" s="208" t="s">
        <v>324</v>
      </c>
      <c r="C441" s="218" t="s">
        <v>4</v>
      </c>
      <c r="D441" s="188">
        <v>0</v>
      </c>
      <c r="E441" s="188">
        <v>0.71</v>
      </c>
      <c r="F441" s="188">
        <v>0.71</v>
      </c>
      <c r="G441" s="188">
        <v>3</v>
      </c>
      <c r="H441" s="189" t="s">
        <v>44</v>
      </c>
      <c r="I441" s="189"/>
      <c r="J441" s="189"/>
      <c r="K441" s="189"/>
      <c r="L441" s="189"/>
      <c r="M441" s="189"/>
      <c r="N441" s="189"/>
      <c r="O441" s="189"/>
      <c r="P441" s="189"/>
      <c r="Q441" s="190">
        <v>66560060185</v>
      </c>
      <c r="R441" s="190">
        <v>66560060185</v>
      </c>
    </row>
    <row r="442" spans="1:18" x14ac:dyDescent="0.25">
      <c r="A442" s="54">
        <v>15</v>
      </c>
      <c r="B442" s="219" t="s">
        <v>325</v>
      </c>
      <c r="C442" s="218" t="s">
        <v>4</v>
      </c>
      <c r="D442" s="188">
        <v>0</v>
      </c>
      <c r="E442" s="188">
        <v>0.25</v>
      </c>
      <c r="F442" s="188">
        <v>0.25</v>
      </c>
      <c r="G442" s="188">
        <v>3.3</v>
      </c>
      <c r="H442" s="189" t="s">
        <v>44</v>
      </c>
      <c r="I442" s="189"/>
      <c r="J442" s="189"/>
      <c r="K442" s="189"/>
      <c r="L442" s="189"/>
      <c r="M442" s="189"/>
      <c r="N442" s="189"/>
      <c r="O442" s="189"/>
      <c r="P442" s="189"/>
      <c r="Q442" s="190">
        <v>66560020708</v>
      </c>
      <c r="R442" s="190">
        <v>66560020708</v>
      </c>
    </row>
    <row r="443" spans="1:18" x14ac:dyDescent="0.25">
      <c r="A443" s="54">
        <v>16</v>
      </c>
      <c r="B443" s="210" t="s">
        <v>326</v>
      </c>
      <c r="C443" s="218" t="s">
        <v>4</v>
      </c>
      <c r="D443" s="188">
        <v>0</v>
      </c>
      <c r="E443" s="188">
        <v>1.08</v>
      </c>
      <c r="F443" s="188">
        <v>1.08</v>
      </c>
      <c r="G443" s="188">
        <v>3</v>
      </c>
      <c r="H443" s="189" t="s">
        <v>44</v>
      </c>
      <c r="I443" s="189"/>
      <c r="J443" s="189"/>
      <c r="K443" s="189"/>
      <c r="L443" s="189"/>
      <c r="M443" s="189"/>
      <c r="N443" s="189"/>
      <c r="O443" s="189"/>
      <c r="P443" s="189"/>
      <c r="Q443" s="190">
        <v>66560020611</v>
      </c>
      <c r="R443" s="190">
        <v>66560020611</v>
      </c>
    </row>
    <row r="444" spans="1:18" x14ac:dyDescent="0.25">
      <c r="A444" s="118"/>
      <c r="B444" s="210"/>
      <c r="C444" s="218" t="s">
        <v>4</v>
      </c>
      <c r="D444" s="188">
        <v>1.08</v>
      </c>
      <c r="E444" s="188">
        <v>2.7199999999999998</v>
      </c>
      <c r="F444" s="188">
        <v>1.64</v>
      </c>
      <c r="G444" s="188">
        <v>3</v>
      </c>
      <c r="H444" s="189" t="s">
        <v>46</v>
      </c>
      <c r="I444" s="189"/>
      <c r="J444" s="189"/>
      <c r="K444" s="189"/>
      <c r="L444" s="189"/>
      <c r="M444" s="189"/>
      <c r="N444" s="189"/>
      <c r="O444" s="189"/>
      <c r="P444" s="189"/>
      <c r="Q444" s="190">
        <v>66560020611</v>
      </c>
      <c r="R444" s="190">
        <v>66560020611</v>
      </c>
    </row>
    <row r="445" spans="1:18" x14ac:dyDescent="0.25">
      <c r="A445" s="118">
        <v>17</v>
      </c>
      <c r="B445" s="208" t="s">
        <v>327</v>
      </c>
      <c r="C445" s="209" t="s">
        <v>4</v>
      </c>
      <c r="D445" s="188">
        <v>0</v>
      </c>
      <c r="E445" s="188">
        <v>0.67</v>
      </c>
      <c r="F445" s="188">
        <v>0.67</v>
      </c>
      <c r="G445" s="188">
        <v>3.5</v>
      </c>
      <c r="H445" s="189" t="s">
        <v>46</v>
      </c>
      <c r="I445" s="189"/>
      <c r="J445" s="189"/>
      <c r="K445" s="189"/>
      <c r="L445" s="189"/>
      <c r="M445" s="189"/>
      <c r="N445" s="189"/>
      <c r="O445" s="189"/>
      <c r="P445" s="189"/>
      <c r="Q445" s="190">
        <v>66560020558</v>
      </c>
      <c r="R445" s="190">
        <v>66560020558</v>
      </c>
    </row>
    <row r="446" spans="1:18" x14ac:dyDescent="0.25">
      <c r="A446" s="54">
        <v>18</v>
      </c>
      <c r="B446" s="210" t="s">
        <v>328</v>
      </c>
      <c r="C446" s="211" t="s">
        <v>4</v>
      </c>
      <c r="D446" s="188">
        <v>0</v>
      </c>
      <c r="E446" s="188">
        <v>0.88</v>
      </c>
      <c r="F446" s="188">
        <v>0.88</v>
      </c>
      <c r="G446" s="188">
        <v>4</v>
      </c>
      <c r="H446" s="189" t="s">
        <v>44</v>
      </c>
      <c r="I446" s="189"/>
      <c r="J446" s="189"/>
      <c r="K446" s="189"/>
      <c r="L446" s="189"/>
      <c r="M446" s="189"/>
      <c r="N446" s="189"/>
      <c r="O446" s="189"/>
      <c r="P446" s="189"/>
      <c r="Q446" s="190">
        <v>66560020561</v>
      </c>
      <c r="R446" s="190">
        <v>66560020561</v>
      </c>
    </row>
    <row r="447" spans="1:18" x14ac:dyDescent="0.25">
      <c r="A447" s="54">
        <v>19</v>
      </c>
      <c r="B447" s="220" t="s">
        <v>329</v>
      </c>
      <c r="C447" s="216" t="s">
        <v>3</v>
      </c>
      <c r="D447" s="188">
        <v>0</v>
      </c>
      <c r="E447" s="188">
        <v>1.04</v>
      </c>
      <c r="F447" s="188">
        <v>1.04</v>
      </c>
      <c r="G447" s="188">
        <v>6</v>
      </c>
      <c r="H447" s="189" t="s">
        <v>59</v>
      </c>
      <c r="I447" s="189"/>
      <c r="J447" s="189"/>
      <c r="K447" s="189"/>
      <c r="L447" s="189"/>
      <c r="M447" s="189"/>
      <c r="N447" s="189"/>
      <c r="O447" s="189"/>
      <c r="P447" s="189"/>
      <c r="Q447" s="190">
        <v>66560020613</v>
      </c>
      <c r="R447" s="190">
        <v>66560020613</v>
      </c>
    </row>
    <row r="448" spans="1:18" x14ac:dyDescent="0.25">
      <c r="A448" s="118"/>
      <c r="B448" s="219"/>
      <c r="C448" s="216" t="s">
        <v>3</v>
      </c>
      <c r="D448" s="188">
        <v>1.04</v>
      </c>
      <c r="E448" s="188">
        <v>2.29</v>
      </c>
      <c r="F448" s="188">
        <v>1.25</v>
      </c>
      <c r="G448" s="188">
        <v>5.2</v>
      </c>
      <c r="H448" s="189" t="s">
        <v>44</v>
      </c>
      <c r="I448" s="189"/>
      <c r="J448" s="189"/>
      <c r="K448" s="189"/>
      <c r="L448" s="189"/>
      <c r="M448" s="189"/>
      <c r="N448" s="189"/>
      <c r="O448" s="189"/>
      <c r="P448" s="189"/>
      <c r="Q448" s="190">
        <v>66560020613</v>
      </c>
      <c r="R448" s="190">
        <v>66560020613</v>
      </c>
    </row>
    <row r="449" spans="1:32" x14ac:dyDescent="0.25">
      <c r="A449" s="118">
        <v>20</v>
      </c>
      <c r="B449" s="208" t="s">
        <v>330</v>
      </c>
      <c r="C449" s="209" t="s">
        <v>4</v>
      </c>
      <c r="D449" s="188">
        <v>0</v>
      </c>
      <c r="E449" s="188">
        <v>1.33</v>
      </c>
      <c r="F449" s="188">
        <v>1.33</v>
      </c>
      <c r="G449" s="188">
        <v>3.5</v>
      </c>
      <c r="H449" s="189" t="s">
        <v>44</v>
      </c>
      <c r="I449" s="189"/>
      <c r="J449" s="189"/>
      <c r="K449" s="189"/>
      <c r="L449" s="189"/>
      <c r="M449" s="189"/>
      <c r="N449" s="189"/>
      <c r="O449" s="189"/>
      <c r="P449" s="189"/>
      <c r="Q449" s="190">
        <v>66560020559</v>
      </c>
      <c r="R449" s="190">
        <v>66560020559</v>
      </c>
      <c r="AA449" t="s">
        <v>70</v>
      </c>
    </row>
    <row r="450" spans="1:32" ht="23.25" x14ac:dyDescent="0.25">
      <c r="K450" s="78" t="s">
        <v>71</v>
      </c>
      <c r="L450" s="81">
        <f>SUM(L427:L449)</f>
        <v>12</v>
      </c>
      <c r="M450" s="81">
        <f>SUM(M427:M449)</f>
        <v>82</v>
      </c>
      <c r="O450" s="78" t="s">
        <v>72</v>
      </c>
      <c r="P450" s="81">
        <f>SUM(P427:P449)</f>
        <v>0</v>
      </c>
      <c r="S450" s="82"/>
      <c r="T450" s="83" t="s">
        <v>73</v>
      </c>
      <c r="U450" s="83" t="s">
        <v>74</v>
      </c>
      <c r="V450" s="83" t="s">
        <v>75</v>
      </c>
      <c r="W450" s="83" t="s">
        <v>76</v>
      </c>
      <c r="X450" s="83" t="s">
        <v>77</v>
      </c>
      <c r="Y450" s="84" t="s">
        <v>72</v>
      </c>
      <c r="Z450" s="82"/>
      <c r="AA450" s="83" t="s">
        <v>73</v>
      </c>
      <c r="AB450" s="83" t="s">
        <v>74</v>
      </c>
      <c r="AC450" s="83" t="s">
        <v>75</v>
      </c>
      <c r="AD450" s="83" t="s">
        <v>76</v>
      </c>
      <c r="AE450" s="83" t="s">
        <v>77</v>
      </c>
      <c r="AF450" s="84" t="s">
        <v>72</v>
      </c>
    </row>
    <row r="451" spans="1:32" s="1" customFormat="1" ht="11.25" x14ac:dyDescent="0.2">
      <c r="A451" s="85" t="s">
        <v>331</v>
      </c>
      <c r="B451" s="86"/>
      <c r="C451" s="86"/>
      <c r="D451" s="87"/>
      <c r="E451" s="87"/>
      <c r="F451" s="81">
        <f>SUM(F427:F449)</f>
        <v>32.170000000000009</v>
      </c>
      <c r="G451" s="88"/>
      <c r="H451" s="89"/>
      <c r="I451" s="27"/>
      <c r="J451" s="90"/>
      <c r="N451" s="80"/>
      <c r="Q451" s="80"/>
      <c r="S451" s="91" t="s">
        <v>38</v>
      </c>
      <c r="T451" s="83" t="s">
        <v>41</v>
      </c>
      <c r="U451" s="83" t="s">
        <v>41</v>
      </c>
      <c r="V451" s="83" t="s">
        <v>41</v>
      </c>
      <c r="W451" s="83" t="s">
        <v>41</v>
      </c>
      <c r="X451" s="83" t="s">
        <v>41</v>
      </c>
      <c r="Y451" s="84" t="s">
        <v>41</v>
      </c>
      <c r="Z451" s="91"/>
      <c r="AA451" s="83" t="s">
        <v>41</v>
      </c>
      <c r="AB451" s="83" t="s">
        <v>41</v>
      </c>
      <c r="AC451" s="83" t="s">
        <v>41</v>
      </c>
      <c r="AD451" s="83" t="s">
        <v>41</v>
      </c>
      <c r="AE451" s="83" t="s">
        <v>41</v>
      </c>
      <c r="AF451" s="84" t="s">
        <v>41</v>
      </c>
    </row>
    <row r="452" spans="1:32" s="1" customFormat="1" ht="11.25" x14ac:dyDescent="0.2">
      <c r="A452" s="92" t="s">
        <v>79</v>
      </c>
      <c r="B452" s="93"/>
      <c r="C452" s="93"/>
      <c r="D452" s="94"/>
      <c r="E452" s="94"/>
      <c r="F452" s="169">
        <f>SUMIFS(F427:F449,H427:H449,"melnais")</f>
        <v>1.22</v>
      </c>
      <c r="G452" s="168"/>
      <c r="H452" s="97"/>
      <c r="I452" s="98"/>
      <c r="J452" s="80"/>
      <c r="K452" s="80"/>
      <c r="L452" s="99"/>
      <c r="M452" s="99"/>
      <c r="N452" s="80"/>
      <c r="O452" s="80"/>
      <c r="P452" s="80"/>
      <c r="Q452" s="80"/>
      <c r="S452" s="100" t="s">
        <v>1</v>
      </c>
      <c r="T452" s="101">
        <f>SUMIFS(F412:F449,C412:C449,"A",H412:H449,"melnais")</f>
        <v>0</v>
      </c>
      <c r="U452" s="101">
        <f>SUMIFS(F412:F449,C412:C449,"A",H412:H449,"dubultā virsma")</f>
        <v>0</v>
      </c>
      <c r="V452" s="101">
        <f>SUMIFS(F412:F449,C412:C449,"A",H412:H449,"bruģis")</f>
        <v>0</v>
      </c>
      <c r="W452" s="101">
        <f>SUMIFS(F412:F449,C412:C449,"A",H412:H449,"grants")</f>
        <v>0</v>
      </c>
      <c r="X452" s="101">
        <f>SUMIFS(F412:F449,C412:C449,"A",H412:H449,"cits segums")</f>
        <v>0</v>
      </c>
      <c r="Y452" s="101">
        <f>SUM(T452:X452)</f>
        <v>0</v>
      </c>
      <c r="Z452" s="100" t="s">
        <v>1</v>
      </c>
      <c r="AA452" s="102">
        <f>SUMIFS(F412:F449,C412:C449,"A",H412:H449,"melnais", Q412:Q449,"Nepiederošs")</f>
        <v>0</v>
      </c>
      <c r="AB452" s="102">
        <f>SUMIFS(F412:F449,C412:C449,"A",H412:H449,"dubultā virsma", Q412:Q449,"Nepiederošs")</f>
        <v>0</v>
      </c>
      <c r="AC452" s="102">
        <f>SUMIFS(F412:F449,C412:C449,"A",H412:H449,"bruģis", Q412:Q449,"Nepiederošs")</f>
        <v>0</v>
      </c>
      <c r="AD452" s="102">
        <f>SUMIFS(F412:F449,C412:C449,"A",H412:H449,"grants", Q412:Q449,"Nepiederošs")</f>
        <v>0</v>
      </c>
      <c r="AE452" s="102">
        <f>SUMIFS(F412:F449,C412:C449,"A",H412:H449,"cits segums", Q412:Q449,"Nepiederošs")</f>
        <v>0</v>
      </c>
      <c r="AF452" s="102">
        <f>SUM(AA452:AE452)</f>
        <v>0</v>
      </c>
    </row>
    <row r="453" spans="1:32" s="1" customFormat="1" ht="11.25" x14ac:dyDescent="0.2">
      <c r="A453" s="92" t="s">
        <v>80</v>
      </c>
      <c r="B453" s="93"/>
      <c r="C453" s="93"/>
      <c r="D453" s="94"/>
      <c r="E453" s="94"/>
      <c r="F453" s="169">
        <f>SUMIFS(F427:F449,H427:H449,"bruģis")</f>
        <v>0</v>
      </c>
      <c r="G453" s="168"/>
      <c r="H453" s="27"/>
      <c r="I453" s="27"/>
      <c r="J453" s="80"/>
      <c r="K453" s="103"/>
      <c r="L453" s="103"/>
      <c r="M453" s="103"/>
      <c r="N453" s="80"/>
      <c r="O453" s="80"/>
      <c r="P453" s="80"/>
      <c r="Q453" s="80"/>
      <c r="S453" s="104" t="s">
        <v>2</v>
      </c>
      <c r="T453" s="101">
        <f>SUMIFS(F412:F449,C412:C449,"B",H412:H449,"melnais")</f>
        <v>0</v>
      </c>
      <c r="U453" s="101">
        <f>SUMIFS(F412:F449,C412:C449,"B",H412:H449,"dubultā virsma")</f>
        <v>0</v>
      </c>
      <c r="V453" s="101">
        <f>SUMIFS(F412:F449,C412:C449,"B",H412:H449,"bruģis")</f>
        <v>0</v>
      </c>
      <c r="W453" s="101">
        <f>SUMIFS(F412:F449,C412:C449,"B",H412:H449,"grants")</f>
        <v>0</v>
      </c>
      <c r="X453" s="101">
        <f>SUMIFS(F412:F449,C412:C449,"B",H412:H449,"cits segums")</f>
        <v>0</v>
      </c>
      <c r="Y453" s="101">
        <f t="shared" ref="Y453:Y455" si="32">SUM(T453:X453)</f>
        <v>0</v>
      </c>
      <c r="Z453" s="104" t="s">
        <v>2</v>
      </c>
      <c r="AA453" s="102">
        <f>SUMIFS(F412:F449,C412:C449,"B",H412:H449,"melnais", Q412:Q449,"Nepiederošs")</f>
        <v>0</v>
      </c>
      <c r="AB453" s="102">
        <f>SUMIFS(F412:F449,C412:C449,"B",H412:H449,"dubultā virsma", Q412:Q449,"Nepiederošs")</f>
        <v>0</v>
      </c>
      <c r="AC453" s="102">
        <f>SUMIFS(F412:F449,C412:C449,"B",H412:H449,"bruģis", Q412:Q449,"Nepiederošs")</f>
        <v>0</v>
      </c>
      <c r="AD453" s="102">
        <f>SUMIFS(F412:F449,C412:C449,"B",H412:H449,"grants", Q412:Q449,"Nepiederošs")</f>
        <v>0</v>
      </c>
      <c r="AE453" s="102">
        <f>SUMIFS(F412:F449,C412:C449,"B",H412:H449,"cits segums", Q412:Q449,"Nepiederošs")</f>
        <v>0</v>
      </c>
      <c r="AF453" s="102">
        <f t="shared" ref="AF453:AF455" si="33">SUM(AA453:AE453)</f>
        <v>0</v>
      </c>
    </row>
    <row r="454" spans="1:32" s="1" customFormat="1" ht="11.25" x14ac:dyDescent="0.2">
      <c r="A454" s="92" t="s">
        <v>81</v>
      </c>
      <c r="B454" s="93"/>
      <c r="C454" s="93"/>
      <c r="D454" s="94"/>
      <c r="E454" s="94"/>
      <c r="F454" s="169">
        <f>SUMIFS(F427:F449,H427:H449,"grants")</f>
        <v>27.980000000000004</v>
      </c>
      <c r="G454" s="168"/>
      <c r="H454" s="27"/>
      <c r="I454" s="27"/>
      <c r="J454" s="80"/>
      <c r="K454" s="78" t="s">
        <v>71</v>
      </c>
      <c r="L454" s="81">
        <f>L450+L412+L313+L236+L176+L87+L49</f>
        <v>127.69</v>
      </c>
      <c r="M454" s="81">
        <f>M450+M412+M313+M236+M176+M87+M49</f>
        <v>852</v>
      </c>
      <c r="N454" s="80"/>
      <c r="O454" s="78" t="s">
        <v>72</v>
      </c>
      <c r="P454" s="81">
        <f>P450+P412+P313+P236+P176+P87+P49</f>
        <v>1803</v>
      </c>
      <c r="Q454" s="80"/>
      <c r="S454" s="105" t="s">
        <v>3</v>
      </c>
      <c r="T454" s="101">
        <f>SUMIFS(F412:F449,C412:C449,"C",H412:H449,"melnais")</f>
        <v>1.04</v>
      </c>
      <c r="U454" s="101">
        <f>SUMIFS(F412:F449,C412:C449,"C",H412:H449,"dubultā virsma")</f>
        <v>0</v>
      </c>
      <c r="V454" s="101">
        <f>SUMIFS(F412:F449,C412:C449,"C",H412:H449,"bruģis")</f>
        <v>0</v>
      </c>
      <c r="W454" s="101">
        <f>SUMIFS(F412:F449,C412:C449,"C",H412:H449,"grants")</f>
        <v>1.25</v>
      </c>
      <c r="X454" s="101">
        <f>SUMIFS(F412:F449,C412:C449,"C",H412:H449,"cits segums")</f>
        <v>0</v>
      </c>
      <c r="Y454" s="101">
        <f t="shared" si="32"/>
        <v>2.29</v>
      </c>
      <c r="Z454" s="105" t="s">
        <v>3</v>
      </c>
      <c r="AA454" s="102">
        <f>SUMIFS(F412:F449,C412:C449,"C",H412:H449,"melnais", Q412:Q449,"Nepiederošs")</f>
        <v>0</v>
      </c>
      <c r="AB454" s="102">
        <f>SUMIFS(F412:F449,C412:C449,"C",H412:H449,"dubultā virsma", Q412:Q449,"Nepiederošs")</f>
        <v>0</v>
      </c>
      <c r="AC454" s="102">
        <f>SUMIFS(F412:F449,C412:C449,"C",H412:H449,"bruģis", Q412:Q449,"Nepiederošs")</f>
        <v>0</v>
      </c>
      <c r="AD454" s="102">
        <f>SUMIFS(F412:F449,C412:C449,"C",H412:H449,"grants", Q412:Q449,"Nepiederošs")</f>
        <v>0</v>
      </c>
      <c r="AE454" s="102">
        <f>SUMIFS(F412:F449,C412:C449,"C",H412:H449,"cits segums", Q412:Q449,"Nepiederošs")</f>
        <v>0</v>
      </c>
      <c r="AF454" s="102">
        <f t="shared" si="33"/>
        <v>0</v>
      </c>
    </row>
    <row r="455" spans="1:32" s="1" customFormat="1" ht="11.25" x14ac:dyDescent="0.2">
      <c r="A455" s="92" t="s">
        <v>82</v>
      </c>
      <c r="B455" s="93"/>
      <c r="C455" s="93"/>
      <c r="D455" s="94"/>
      <c r="E455" s="94"/>
      <c r="F455" s="169">
        <f>SUMIFS(F427:F449,H427:H449,"cits segums")</f>
        <v>2.9699999999999998</v>
      </c>
      <c r="G455" s="168"/>
      <c r="H455" s="98"/>
      <c r="I455" s="27"/>
      <c r="J455" s="106"/>
      <c r="K455" s="103"/>
      <c r="L455" s="103"/>
      <c r="M455" s="103"/>
      <c r="N455" s="80"/>
      <c r="O455" s="80"/>
      <c r="P455" s="80"/>
      <c r="Q455" s="80"/>
      <c r="S455" s="100" t="s">
        <v>4</v>
      </c>
      <c r="T455" s="101">
        <f>SUMIFS(F412:F449,C412:C449,"D",H412:H449,"melnais")</f>
        <v>0.18</v>
      </c>
      <c r="U455" s="101">
        <f>SUMIFS(F412:F449,C412:C449,"D",H412:H449,"dubultā virsma")</f>
        <v>0</v>
      </c>
      <c r="V455" s="101">
        <f>SUMIFS(F412:F449,C412:C449,"D",H412:H449,"bruģis")</f>
        <v>0</v>
      </c>
      <c r="W455" s="101">
        <f>SUMIFS(F412:F449,C412:C449,"D",H412:H449,"grants")</f>
        <v>26.730000000000004</v>
      </c>
      <c r="X455" s="101">
        <f>SUMIFS(F412:F449,C412:C449,"D",H412:H449,"cits segums")</f>
        <v>2.9699999999999998</v>
      </c>
      <c r="Y455" s="101">
        <f t="shared" si="32"/>
        <v>29.880000000000003</v>
      </c>
      <c r="Z455" s="100" t="s">
        <v>4</v>
      </c>
      <c r="AA455" s="102">
        <f>SUMIFS(F412:F449,C412:C449,"D",H412:H449,"melnais", Q412:Q449,"Nepiederošs")</f>
        <v>0</v>
      </c>
      <c r="AB455" s="102">
        <f>SUMIFS(F412:F449,C412:C449,"D",H412:H449,"dubultā virsma", Q412:Q449,"Nepiederošs")</f>
        <v>0</v>
      </c>
      <c r="AC455" s="102">
        <f>SUMIFS(F412:F449,C412:C449,"D",H412:H449,"bruģis", Q412:Q449,"Nepiederošs")</f>
        <v>0</v>
      </c>
      <c r="AD455" s="102">
        <f>SUMIFS(F412:F449,C412:C449,"D",H412:H449,"grants", Q412:Q449,"Nepiederošs")</f>
        <v>0</v>
      </c>
      <c r="AE455" s="102">
        <f>SUMIFS(F412:F449,C412:C449,"D",H412:H449,"cits segums", Q412:Q449,"Nepiederošs")</f>
        <v>0</v>
      </c>
      <c r="AF455" s="102">
        <f t="shared" si="33"/>
        <v>0</v>
      </c>
    </row>
    <row r="456" spans="1:32" x14ac:dyDescent="0.25">
      <c r="T456" s="108">
        <f>SUM(T452:T455)</f>
        <v>1.22</v>
      </c>
      <c r="U456" s="108">
        <f t="shared" ref="U456:Y456" si="34">SUM(U452:U455)</f>
        <v>0</v>
      </c>
      <c r="V456" s="108">
        <f t="shared" si="34"/>
        <v>0</v>
      </c>
      <c r="W456" s="108">
        <f t="shared" si="34"/>
        <v>27.980000000000004</v>
      </c>
      <c r="X456" s="108">
        <f t="shared" si="34"/>
        <v>2.9699999999999998</v>
      </c>
      <c r="Y456" s="108">
        <f t="shared" si="34"/>
        <v>32.17</v>
      </c>
      <c r="AA456" s="109">
        <f>SUM(AA452:AA455)</f>
        <v>0</v>
      </c>
      <c r="AB456" s="109">
        <f t="shared" ref="AB456" si="35">SUM(AB452:AB455)</f>
        <v>0</v>
      </c>
      <c r="AC456" s="109">
        <f>SUM(AC452:AC455)</f>
        <v>0</v>
      </c>
      <c r="AD456" s="109">
        <f t="shared" ref="AD456:AF456" si="36">SUM(AD452:AD455)</f>
        <v>0</v>
      </c>
      <c r="AE456" s="109">
        <f t="shared" si="36"/>
        <v>0</v>
      </c>
      <c r="AF456" s="109">
        <f t="shared" si="36"/>
        <v>0</v>
      </c>
    </row>
    <row r="457" spans="1:32" s="1" customFormat="1" ht="11.25" x14ac:dyDescent="0.2">
      <c r="A457" s="85" t="s">
        <v>332</v>
      </c>
      <c r="B457" s="86"/>
      <c r="C457" s="86"/>
      <c r="D457" s="87"/>
      <c r="E457" s="87"/>
      <c r="F457" s="81">
        <f>F451+F413+F315+F237+F177+F88+F50</f>
        <v>371.27000000000004</v>
      </c>
      <c r="G457" s="88"/>
      <c r="H457" s="89"/>
      <c r="I457" s="27"/>
      <c r="J457" s="90"/>
      <c r="Q457" s="80"/>
    </row>
    <row r="458" spans="1:32" s="1" customFormat="1" ht="11.25" x14ac:dyDescent="0.2">
      <c r="A458" s="92" t="s">
        <v>79</v>
      </c>
      <c r="B458" s="93"/>
      <c r="C458" s="93"/>
      <c r="D458" s="94"/>
      <c r="E458" s="94"/>
      <c r="F458" s="95">
        <f>F452+F414+F316+F238+F178+F89+F51</f>
        <v>11.320000000000002</v>
      </c>
      <c r="G458" s="96"/>
      <c r="H458" s="97"/>
      <c r="I458" s="98"/>
      <c r="J458" s="80"/>
      <c r="K458" s="80"/>
      <c r="L458" s="99"/>
      <c r="M458" s="99"/>
      <c r="N458" s="80"/>
      <c r="O458" s="80"/>
      <c r="P458" s="80"/>
      <c r="Q458" s="80"/>
    </row>
    <row r="459" spans="1:32" s="1" customFormat="1" ht="11.25" x14ac:dyDescent="0.2">
      <c r="A459" s="92" t="s">
        <v>80</v>
      </c>
      <c r="B459" s="93"/>
      <c r="C459" s="93"/>
      <c r="D459" s="94"/>
      <c r="E459" s="94"/>
      <c r="F459" s="95">
        <f>F453+F415+F317+F239+F179+F90+F52</f>
        <v>7.0000000000000007E-2</v>
      </c>
      <c r="G459" s="96"/>
      <c r="H459" s="27"/>
      <c r="I459" s="27"/>
      <c r="J459" s="80"/>
      <c r="K459" s="103"/>
      <c r="L459" s="103"/>
      <c r="M459" s="103"/>
      <c r="N459" s="80"/>
      <c r="O459" s="80"/>
      <c r="P459" s="80"/>
      <c r="Q459" s="80"/>
    </row>
    <row r="460" spans="1:32" s="1" customFormat="1" ht="11.25" x14ac:dyDescent="0.2">
      <c r="A460" s="92" t="s">
        <v>81</v>
      </c>
      <c r="B460" s="93"/>
      <c r="C460" s="93"/>
      <c r="D460" s="94"/>
      <c r="E460" s="94"/>
      <c r="F460" s="95">
        <f>F454+F416+F318+F240+F180+F91+F53</f>
        <v>346.29</v>
      </c>
      <c r="G460" s="96"/>
      <c r="H460" s="27"/>
      <c r="I460" s="27"/>
      <c r="J460" s="80"/>
      <c r="K460" s="103"/>
      <c r="L460" s="103"/>
      <c r="M460" s="103"/>
      <c r="N460" s="80"/>
      <c r="O460" s="80"/>
      <c r="P460" s="80"/>
      <c r="Q460" s="80"/>
    </row>
    <row r="461" spans="1:32" s="1" customFormat="1" ht="11.25" x14ac:dyDescent="0.2">
      <c r="A461" s="92" t="s">
        <v>82</v>
      </c>
      <c r="B461" s="93"/>
      <c r="C461" s="93"/>
      <c r="D461" s="94"/>
      <c r="E461" s="94"/>
      <c r="F461" s="95">
        <f>F455+F417+F319+F241+F181+F92+F54</f>
        <v>13.59</v>
      </c>
      <c r="G461" s="96"/>
      <c r="H461" s="98"/>
      <c r="I461" s="27"/>
      <c r="J461" s="106"/>
      <c r="K461" s="103"/>
      <c r="L461" s="103"/>
      <c r="M461" s="103"/>
      <c r="N461" s="80"/>
      <c r="O461" s="80"/>
      <c r="P461" s="80"/>
      <c r="Q461" s="80"/>
    </row>
    <row r="466" spans="2:15" x14ac:dyDescent="0.25">
      <c r="B466" s="19" t="s">
        <v>333</v>
      </c>
      <c r="C466" s="19"/>
      <c r="D466" s="221"/>
      <c r="E466" s="221"/>
      <c r="F466" s="221"/>
      <c r="G466" s="222"/>
      <c r="H466" s="82"/>
      <c r="I466" s="82"/>
      <c r="J466" s="223"/>
      <c r="K466" s="223"/>
      <c r="L466" s="103"/>
      <c r="M466" s="103"/>
      <c r="N466" s="103"/>
      <c r="O466" s="80"/>
    </row>
    <row r="467" spans="2:15" x14ac:dyDescent="0.25">
      <c r="B467" s="19" t="s">
        <v>334</v>
      </c>
      <c r="C467" s="19"/>
      <c r="D467" s="224" t="s">
        <v>335</v>
      </c>
      <c r="E467" s="224"/>
      <c r="F467" s="224"/>
      <c r="G467" s="224"/>
      <c r="H467" s="224"/>
      <c r="I467" s="224"/>
      <c r="J467" s="224"/>
      <c r="K467" s="224"/>
      <c r="L467" s="82"/>
      <c r="M467" s="225"/>
      <c r="N467" s="225"/>
      <c r="O467" s="80"/>
    </row>
    <row r="468" spans="2:15" x14ac:dyDescent="0.25">
      <c r="B468" s="19"/>
      <c r="C468" s="19"/>
      <c r="D468" s="226" t="s">
        <v>336</v>
      </c>
      <c r="E468" s="226"/>
      <c r="F468" s="226"/>
      <c r="G468" s="226"/>
      <c r="H468" s="226"/>
      <c r="I468" s="226"/>
      <c r="J468" s="226"/>
      <c r="K468" s="226"/>
      <c r="L468" s="103"/>
      <c r="M468" s="227" t="s">
        <v>337</v>
      </c>
      <c r="N468" s="227"/>
      <c r="O468" s="80"/>
    </row>
    <row r="469" spans="2:15" x14ac:dyDescent="0.25">
      <c r="B469" s="19" t="s">
        <v>333</v>
      </c>
      <c r="C469" s="19"/>
      <c r="D469" s="221"/>
      <c r="E469" s="221"/>
      <c r="F469" s="221"/>
      <c r="G469" s="222"/>
      <c r="H469" s="82"/>
      <c r="I469" s="82"/>
      <c r="J469" s="223"/>
      <c r="K469" s="223"/>
      <c r="L469" s="103"/>
      <c r="M469" s="103"/>
      <c r="N469" s="103"/>
      <c r="O469" s="80"/>
    </row>
    <row r="470" spans="2:15" x14ac:dyDescent="0.25">
      <c r="B470" s="19" t="s">
        <v>338</v>
      </c>
      <c r="C470" s="19"/>
      <c r="D470" s="221" t="s">
        <v>339</v>
      </c>
      <c r="E470" s="221"/>
      <c r="F470" s="221"/>
      <c r="G470" s="221"/>
      <c r="H470" s="221"/>
      <c r="I470" s="221"/>
      <c r="J470" s="221"/>
      <c r="K470" s="221"/>
      <c r="L470" s="103"/>
      <c r="M470" s="225"/>
      <c r="N470" s="225"/>
      <c r="O470" s="80"/>
    </row>
    <row r="471" spans="2:15" x14ac:dyDescent="0.25">
      <c r="B471" s="19"/>
      <c r="C471" s="19"/>
      <c r="D471" s="226" t="s">
        <v>336</v>
      </c>
      <c r="E471" s="226"/>
      <c r="F471" s="226"/>
      <c r="G471" s="226"/>
      <c r="H471" s="226"/>
      <c r="I471" s="226"/>
      <c r="J471" s="226"/>
      <c r="K471" s="226"/>
      <c r="L471" s="103"/>
      <c r="M471" s="227" t="s">
        <v>337</v>
      </c>
      <c r="N471" s="227"/>
      <c r="O471" s="80"/>
    </row>
  </sheetData>
  <mergeCells count="150">
    <mergeCell ref="D469:F469"/>
    <mergeCell ref="D470:K470"/>
    <mergeCell ref="D471:K471"/>
    <mergeCell ref="M471:N471"/>
    <mergeCell ref="O424:O425"/>
    <mergeCell ref="Q424:Q425"/>
    <mergeCell ref="R424:R425"/>
    <mergeCell ref="D466:F466"/>
    <mergeCell ref="D468:K468"/>
    <mergeCell ref="M468:N468"/>
    <mergeCell ref="P423:P425"/>
    <mergeCell ref="D424:E424"/>
    <mergeCell ref="F424:F425"/>
    <mergeCell ref="G424:G425"/>
    <mergeCell ref="H424:H425"/>
    <mergeCell ref="I424:I425"/>
    <mergeCell ref="J424:K424"/>
    <mergeCell ref="L424:L425"/>
    <mergeCell ref="M424:M425"/>
    <mergeCell ref="N424:N425"/>
    <mergeCell ref="O326:O327"/>
    <mergeCell ref="Q326:Q327"/>
    <mergeCell ref="R326:R327"/>
    <mergeCell ref="D419:P419"/>
    <mergeCell ref="A422:A425"/>
    <mergeCell ref="B422:B425"/>
    <mergeCell ref="D422:P422"/>
    <mergeCell ref="Q422:R423"/>
    <mergeCell ref="D423:H423"/>
    <mergeCell ref="I423:O423"/>
    <mergeCell ref="P325:P327"/>
    <mergeCell ref="D326:E326"/>
    <mergeCell ref="F326:F327"/>
    <mergeCell ref="G326:G327"/>
    <mergeCell ref="H326:H327"/>
    <mergeCell ref="I326:I327"/>
    <mergeCell ref="J326:K326"/>
    <mergeCell ref="L326:L327"/>
    <mergeCell ref="M326:M327"/>
    <mergeCell ref="N326:N327"/>
    <mergeCell ref="O248:O249"/>
    <mergeCell ref="Q248:Q249"/>
    <mergeCell ref="R248:R249"/>
    <mergeCell ref="D321:P321"/>
    <mergeCell ref="A324:A327"/>
    <mergeCell ref="B324:B327"/>
    <mergeCell ref="D324:P324"/>
    <mergeCell ref="Q324:R325"/>
    <mergeCell ref="D325:H325"/>
    <mergeCell ref="I325:O325"/>
    <mergeCell ref="P247:P249"/>
    <mergeCell ref="D248:E248"/>
    <mergeCell ref="F248:F249"/>
    <mergeCell ref="G248:G249"/>
    <mergeCell ref="H248:H249"/>
    <mergeCell ref="I248:I249"/>
    <mergeCell ref="J248:K248"/>
    <mergeCell ref="L248:L249"/>
    <mergeCell ref="M248:M249"/>
    <mergeCell ref="N248:N249"/>
    <mergeCell ref="O188:O189"/>
    <mergeCell ref="Q188:Q189"/>
    <mergeCell ref="R188:R189"/>
    <mergeCell ref="D243:P243"/>
    <mergeCell ref="A246:A249"/>
    <mergeCell ref="B246:B249"/>
    <mergeCell ref="D246:P246"/>
    <mergeCell ref="Q246:R247"/>
    <mergeCell ref="D247:H247"/>
    <mergeCell ref="I247:O247"/>
    <mergeCell ref="P187:P189"/>
    <mergeCell ref="D188:E188"/>
    <mergeCell ref="F188:F189"/>
    <mergeCell ref="G188:G189"/>
    <mergeCell ref="H188:H189"/>
    <mergeCell ref="I188:I189"/>
    <mergeCell ref="J188:K188"/>
    <mergeCell ref="L188:L189"/>
    <mergeCell ref="M188:M189"/>
    <mergeCell ref="N188:N189"/>
    <mergeCell ref="O99:O100"/>
    <mergeCell ref="Q99:Q100"/>
    <mergeCell ref="R99:R100"/>
    <mergeCell ref="D183:P183"/>
    <mergeCell ref="A186:A189"/>
    <mergeCell ref="B186:B189"/>
    <mergeCell ref="D186:P186"/>
    <mergeCell ref="Q186:R187"/>
    <mergeCell ref="D187:H187"/>
    <mergeCell ref="I187:O187"/>
    <mergeCell ref="P98:P100"/>
    <mergeCell ref="D99:E99"/>
    <mergeCell ref="F99:F100"/>
    <mergeCell ref="G99:G100"/>
    <mergeCell ref="H99:H100"/>
    <mergeCell ref="I99:I100"/>
    <mergeCell ref="J99:K99"/>
    <mergeCell ref="L99:L100"/>
    <mergeCell ref="M99:M100"/>
    <mergeCell ref="N99:N100"/>
    <mergeCell ref="O61:O62"/>
    <mergeCell ref="Q61:Q62"/>
    <mergeCell ref="R61:R62"/>
    <mergeCell ref="D94:P94"/>
    <mergeCell ref="A97:A100"/>
    <mergeCell ref="B97:B100"/>
    <mergeCell ref="D97:P97"/>
    <mergeCell ref="Q97:R98"/>
    <mergeCell ref="D98:H98"/>
    <mergeCell ref="I98:O98"/>
    <mergeCell ref="P60:P62"/>
    <mergeCell ref="D61:E61"/>
    <mergeCell ref="F61:F62"/>
    <mergeCell ref="G61:G62"/>
    <mergeCell ref="H61:H62"/>
    <mergeCell ref="I61:I62"/>
    <mergeCell ref="J61:K61"/>
    <mergeCell ref="L61:L62"/>
    <mergeCell ref="M61:M62"/>
    <mergeCell ref="N61:N62"/>
    <mergeCell ref="O8:O9"/>
    <mergeCell ref="Q8:Q9"/>
    <mergeCell ref="R8:R9"/>
    <mergeCell ref="D56:P56"/>
    <mergeCell ref="A59:A62"/>
    <mergeCell ref="B59:B62"/>
    <mergeCell ref="D59:P59"/>
    <mergeCell ref="Q59:R60"/>
    <mergeCell ref="D60:H60"/>
    <mergeCell ref="I60:O60"/>
    <mergeCell ref="P7:P9"/>
    <mergeCell ref="D8:E8"/>
    <mergeCell ref="F8:F9"/>
    <mergeCell ref="G8:G9"/>
    <mergeCell ref="H8:H9"/>
    <mergeCell ref="I8:I9"/>
    <mergeCell ref="J8:K8"/>
    <mergeCell ref="L8:L9"/>
    <mergeCell ref="M8:M9"/>
    <mergeCell ref="N8:N9"/>
    <mergeCell ref="D1:P1"/>
    <mergeCell ref="T2:X2"/>
    <mergeCell ref="Z2:AA2"/>
    <mergeCell ref="D3:P3"/>
    <mergeCell ref="A6:A9"/>
    <mergeCell ref="B6:B9"/>
    <mergeCell ref="D6:P6"/>
    <mergeCell ref="Q6:R7"/>
    <mergeCell ref="D7:H7"/>
    <mergeCell ref="I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Grosa</dc:creator>
  <cp:lastModifiedBy>Regina Grosa</cp:lastModifiedBy>
  <dcterms:created xsi:type="dcterms:W3CDTF">2021-12-01T09:11:25Z</dcterms:created>
  <dcterms:modified xsi:type="dcterms:W3CDTF">2021-12-01T09:12:19Z</dcterms:modified>
</cp:coreProperties>
</file>